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基本情報入力" sheetId="1" r:id="rId1"/>
    <sheet name="旅行行程表（自分用）" sheetId="2" r:id="rId2"/>
    <sheet name="旅行行程表（自宅用）" sheetId="3" r:id="rId3"/>
    <sheet name="Sheet4" sheetId="4" r:id="rId4"/>
  </sheets>
  <definedNames>
    <definedName name="_xlnm.Print_Area" localSheetId="1">'旅行行程表（自分用）'!$A$1:$H$46</definedName>
  </definedNames>
  <calcPr calcId="144525"/>
</workbook>
</file>

<file path=xl/sharedStrings.xml><?xml version="1.0" encoding="utf-8"?>
<sst xmlns="http://schemas.openxmlformats.org/spreadsheetml/2006/main" count="337">
  <si>
    <t>色のついている場所に必要事項を入力してください</t>
  </si>
  <si>
    <t>【目的地】</t>
  </si>
  <si>
    <t>バリ島</t>
  </si>
  <si>
    <t>【行き】</t>
  </si>
  <si>
    <t>便名①</t>
  </si>
  <si>
    <t>GA881</t>
  </si>
  <si>
    <t>【帰り】</t>
  </si>
  <si>
    <t>GA413</t>
  </si>
  <si>
    <t>【ホテル①】</t>
  </si>
  <si>
    <t>宿泊日</t>
  </si>
  <si>
    <t>～</t>
  </si>
  <si>
    <t>出発空港</t>
  </si>
  <si>
    <t>成田空港</t>
  </si>
  <si>
    <t>デンパサール</t>
  </si>
  <si>
    <t>名称</t>
  </si>
  <si>
    <t>カジャネ・ムア</t>
  </si>
  <si>
    <t>出発日</t>
  </si>
  <si>
    <t>住所</t>
  </si>
  <si>
    <t>Jl. Monkey Forest No.20, Ubud, Kecamatan Ubud, Kabupaten Gianyar, Bali 80571 インドネシア</t>
  </si>
  <si>
    <t>出発時刻</t>
  </si>
  <si>
    <t>到着時刻</t>
  </si>
  <si>
    <t>電話番号</t>
  </si>
  <si>
    <t>62 361 972877</t>
  </si>
  <si>
    <t>便名②</t>
  </si>
  <si>
    <t>AK001</t>
  </si>
  <si>
    <t>GA874</t>
  </si>
  <si>
    <t>【ホテル②】</t>
  </si>
  <si>
    <t>クアラルンプール</t>
  </si>
  <si>
    <t>スカルノハッタ</t>
  </si>
  <si>
    <t>ロイヤルピタマハ</t>
  </si>
  <si>
    <t>Kedewatan, Ubud, Gianyar, Bali 80571 インドネシア</t>
  </si>
  <si>
    <t>62 361 980022</t>
  </si>
  <si>
    <t>日程</t>
  </si>
  <si>
    <t>日付</t>
  </si>
  <si>
    <t>時間</t>
  </si>
  <si>
    <t>スケジュール</t>
  </si>
  <si>
    <t>食事</t>
  </si>
  <si>
    <t>宿泊先</t>
  </si>
  <si>
    <t>朝</t>
  </si>
  <si>
    <t>昼</t>
  </si>
  <si>
    <t>夜</t>
  </si>
  <si>
    <t>AA</t>
  </si>
  <si>
    <t>アメリカン航空（ＵＳＡ）</t>
  </si>
  <si>
    <t>直行便</t>
  </si>
  <si>
    <t>当日着</t>
  </si>
  <si>
    <t>AC</t>
  </si>
  <si>
    <t>エア・カナダ（カナダ）</t>
  </si>
  <si>
    <t>行き</t>
  </si>
  <si>
    <t>AF</t>
  </si>
  <si>
    <t>エールフランス（フランス）</t>
  </si>
  <si>
    <t>帰り</t>
  </si>
  <si>
    <t>AI</t>
  </si>
  <si>
    <t>エア・インディア（インド）</t>
  </si>
  <si>
    <t>AM</t>
  </si>
  <si>
    <t>アエロメヒコ（メキシコ）</t>
  </si>
  <si>
    <t>AN</t>
  </si>
  <si>
    <t>アンセット・オーストラリア航空（オーストラリア）</t>
  </si>
  <si>
    <t>CT1</t>
  </si>
  <si>
    <t>CT2</t>
  </si>
  <si>
    <t>CY1</t>
  </si>
  <si>
    <t>CY2</t>
  </si>
  <si>
    <t>KT1</t>
  </si>
  <si>
    <t>KT2</t>
  </si>
  <si>
    <t>KY1</t>
  </si>
  <si>
    <t>KY2</t>
  </si>
  <si>
    <t>AQ</t>
  </si>
  <si>
    <t>アロハ航空（ＵＳＡ）</t>
  </si>
  <si>
    <t>AR</t>
  </si>
  <si>
    <t>アルゼンチン航空（アルゼンチン）</t>
  </si>
  <si>
    <t>AS</t>
  </si>
  <si>
    <t>アラスカ航空（ＵＳＡ）</t>
  </si>
  <si>
    <t>AV</t>
  </si>
  <si>
    <t>アビアンカ航空（コロンビア）</t>
  </si>
  <si>
    <t>AY</t>
  </si>
  <si>
    <t>フィンランド航空（フィンランド）</t>
  </si>
  <si>
    <t>AZ</t>
  </si>
  <si>
    <t>アリタリア航空（イタリア）</t>
  </si>
  <si>
    <t>BA</t>
  </si>
  <si>
    <t>ブリティッシュ・エアウェイズ（イギリス）</t>
  </si>
  <si>
    <t>BC</t>
  </si>
  <si>
    <t>スカイマークエアラインズ（日本）</t>
  </si>
  <si>
    <t>BD</t>
  </si>
  <si>
    <t>ブリティッシュ・ミッドランド航空（イギリス）</t>
  </si>
  <si>
    <t>BG</t>
  </si>
  <si>
    <t>ビーマン・バングラデシュ航空（バングラデシュ）</t>
  </si>
  <si>
    <t>BI</t>
  </si>
  <si>
    <t>ロイヤルブルネイ航空（ブルネイ）</t>
  </si>
  <si>
    <t>BR</t>
  </si>
  <si>
    <t>エバー航空（台湾）</t>
  </si>
  <si>
    <t>CA</t>
  </si>
  <si>
    <t>中国国際航空（中国）</t>
  </si>
  <si>
    <t>CI</t>
  </si>
  <si>
    <t>チャイナエアライン（台湾）</t>
  </si>
  <si>
    <t>CM</t>
  </si>
  <si>
    <t>コパ航空（パナマ）</t>
  </si>
  <si>
    <t>CO</t>
  </si>
  <si>
    <t>コンチネンタル航空（ＵＳＡ）</t>
  </si>
  <si>
    <t>CS</t>
  </si>
  <si>
    <t>コンチネンタル・ミクロネシア航空（ＵＳＡ）</t>
  </si>
  <si>
    <t>CX</t>
  </si>
  <si>
    <t>キャセイパシフィック航空（香港）</t>
  </si>
  <si>
    <t>CY</t>
  </si>
  <si>
    <t>キプロス航空（キプロス）</t>
  </si>
  <si>
    <t>CZ</t>
  </si>
  <si>
    <t>中国南方航空(北方公司)（中国）</t>
  </si>
  <si>
    <t>DL</t>
  </si>
  <si>
    <t>デルタ航空（ＵＳＡ）</t>
  </si>
  <si>
    <t>EF</t>
  </si>
  <si>
    <t>遠東航空（台湾）</t>
  </si>
  <si>
    <t>EG</t>
  </si>
  <si>
    <t>日本アジア航空（日本）</t>
  </si>
  <si>
    <t>EI</t>
  </si>
  <si>
    <t>エア・リンガス（アイルランド）</t>
  </si>
  <si>
    <t>EK</t>
  </si>
  <si>
    <t>エミレイツ航空（アラブ首長国連邦）</t>
  </si>
  <si>
    <t>EL</t>
  </si>
  <si>
    <t>エアーニッポン（日本）</t>
  </si>
  <si>
    <t>ET</t>
  </si>
  <si>
    <t>エチオピア国営航空（エチオピア）</t>
  </si>
  <si>
    <t>FF</t>
  </si>
  <si>
    <t>タワー・エア（ＵＳＡ）</t>
  </si>
  <si>
    <t>FI</t>
  </si>
  <si>
    <t>アイスランド航空（アイスランド）</t>
  </si>
  <si>
    <t>FJ</t>
  </si>
  <si>
    <t>エア・パシフィック（フィジー）</t>
  </si>
  <si>
    <t>GA</t>
  </si>
  <si>
    <t>ガルーダ・インドネシア航空（インドネシア）</t>
  </si>
  <si>
    <t>GE</t>
  </si>
  <si>
    <t>復興／トランスアジア航空（台湾）</t>
  </si>
  <si>
    <t>GF</t>
  </si>
  <si>
    <t>ガルフ航空（ペルシャ湾岸諸国共同）</t>
  </si>
  <si>
    <t>GU</t>
  </si>
  <si>
    <t>アビアテカ航空（グアテマラ）</t>
  </si>
  <si>
    <t>HD</t>
  </si>
  <si>
    <t>北海道国際航空／ＡＩＲ　ＤＯ（日本）</t>
  </si>
  <si>
    <t>HM</t>
  </si>
  <si>
    <t>エア・セイシェル（セイシェル）</t>
  </si>
  <si>
    <t>HP</t>
  </si>
  <si>
    <t>アメリカウエスト航空（ＵＳＡ）</t>
  </si>
  <si>
    <t>HR</t>
  </si>
  <si>
    <t>ハンエアー（ドイツ）</t>
  </si>
  <si>
    <t>HY</t>
  </si>
  <si>
    <t>ウズベキスタン航空（ウズベキスタン）</t>
  </si>
  <si>
    <t>HZ</t>
  </si>
  <si>
    <t>サハリン航空（ロシア）</t>
  </si>
  <si>
    <t>H8</t>
  </si>
  <si>
    <t>ダリアビア航空（ロシア）</t>
  </si>
  <si>
    <t>IA</t>
  </si>
  <si>
    <t>イラク航空（イラク）</t>
  </si>
  <si>
    <t>IB</t>
  </si>
  <si>
    <t>イベリア・スペイン航空（スペイン）</t>
  </si>
  <si>
    <t>IC</t>
  </si>
  <si>
    <t>インディアン航空（インド）</t>
  </si>
  <si>
    <t>IR</t>
  </si>
  <si>
    <t>イラン航空（イラン）</t>
  </si>
  <si>
    <t>IW</t>
  </si>
  <si>
    <t>ＡＯＭフランス航空（フランス）</t>
  </si>
  <si>
    <t>JC</t>
  </si>
  <si>
    <t>ＪＡＬエクスプレス（日本）</t>
  </si>
  <si>
    <t>JD</t>
  </si>
  <si>
    <t>日本エアシステム（日本）</t>
  </si>
  <si>
    <t>JL</t>
  </si>
  <si>
    <t>日本航空（日本）</t>
  </si>
  <si>
    <t>JM</t>
  </si>
  <si>
    <t>エア・ジャマイカ（ジャマイカ）</t>
  </si>
  <si>
    <t>JO</t>
  </si>
  <si>
    <t>ジャルウェイズ（日本）</t>
  </si>
  <si>
    <t>JS</t>
  </si>
  <si>
    <t>高麗航空（北朝鮮）</t>
  </si>
  <si>
    <t>KA</t>
  </si>
  <si>
    <t>香港ドラゴン航空（香港）</t>
  </si>
  <si>
    <t>KB</t>
  </si>
  <si>
    <t>ドゥルック・エア（ブータン）</t>
  </si>
  <si>
    <t>KE</t>
  </si>
  <si>
    <t>大韓航空（韓国）</t>
  </si>
  <si>
    <t>KL</t>
  </si>
  <si>
    <t>ＫＬＭオランダ航空（オランダ）</t>
  </si>
  <si>
    <t>KQ</t>
  </si>
  <si>
    <t>ケニア航空（ケニア）</t>
  </si>
  <si>
    <t>KT</t>
  </si>
  <si>
    <t>カンプチア航空（カンボジア）</t>
  </si>
  <si>
    <t>KU</t>
  </si>
  <si>
    <t>クウェート航空（クウェート）</t>
  </si>
  <si>
    <t>KW</t>
  </si>
  <si>
    <t>カーニバル航空（ＵＳＡ）</t>
  </si>
  <si>
    <t>LA</t>
  </si>
  <si>
    <t>ラン・チリ国営航空（チリ）</t>
  </si>
  <si>
    <t>LB</t>
  </si>
  <si>
    <t>ボリビア航空（ボリビア）</t>
  </si>
  <si>
    <t>LH</t>
  </si>
  <si>
    <t>ルフトハンザ・ドイツ航空（ドイツ）</t>
  </si>
  <si>
    <t>LO</t>
  </si>
  <si>
    <t>ＬＯＴポーランド航空（ポーランド）</t>
  </si>
  <si>
    <t>LR</t>
  </si>
  <si>
    <t>ラクサ航空（コスタリカ）</t>
  </si>
  <si>
    <t>LX</t>
  </si>
  <si>
    <t>スイス・インターナショナル・エアラインズ（スイス）</t>
  </si>
  <si>
    <t>LY</t>
  </si>
  <si>
    <t>エル・アル・イスラエル航空（イスラエル）</t>
  </si>
  <si>
    <t>LZ</t>
  </si>
  <si>
    <t>バルカン・ブルガリア航空（ブルガリア）</t>
  </si>
  <si>
    <t>MA</t>
  </si>
  <si>
    <t>マレブ・ハンガリー航空（ハンガリー）</t>
  </si>
  <si>
    <t>MD</t>
  </si>
  <si>
    <t>マダガスカル航空（マダガスカル）</t>
  </si>
  <si>
    <t>ME</t>
  </si>
  <si>
    <t>ＭＥＡ中東航空（レバノン）</t>
  </si>
  <si>
    <t>MH</t>
  </si>
  <si>
    <t>マレーシア航空（マレーシア）</t>
  </si>
  <si>
    <t>MI</t>
  </si>
  <si>
    <t>シルクエア（シンガポール）</t>
  </si>
  <si>
    <t>MK</t>
  </si>
  <si>
    <t>モーリシャス航空（モーリシャス）</t>
  </si>
  <si>
    <t>MS</t>
  </si>
  <si>
    <t>エジプト航空（エジプト）</t>
  </si>
  <si>
    <t>MU</t>
  </si>
  <si>
    <t>中国東方航空（中国）</t>
  </si>
  <si>
    <t>MX</t>
  </si>
  <si>
    <t>メキシカーナ航空（メキシコ）</t>
  </si>
  <si>
    <t>NG</t>
  </si>
  <si>
    <t>ラウダ航空（オーストリア）</t>
  </si>
  <si>
    <t>NH</t>
  </si>
  <si>
    <t>全日本空輸・全日空（日本）</t>
  </si>
  <si>
    <t>NM</t>
  </si>
  <si>
    <t>マウント・クック航空（ニュージーランド）</t>
  </si>
  <si>
    <t>NQ</t>
  </si>
  <si>
    <t>エアージャパン（日本）</t>
  </si>
  <si>
    <t>NU</t>
  </si>
  <si>
    <t>日本トランスオーシャン航空（日本）</t>
  </si>
  <si>
    <t>NW</t>
  </si>
  <si>
    <t>ノースウエスト航空（ＵＳＡ）</t>
  </si>
  <si>
    <t>NX</t>
  </si>
  <si>
    <t>マカオ航空（マカオ／中国）</t>
  </si>
  <si>
    <t>NZ</t>
  </si>
  <si>
    <t>ニュージーランド航空（ニュージーランド）</t>
  </si>
  <si>
    <t>OA</t>
  </si>
  <si>
    <t>オリンピック航空（ギリシャ）</t>
  </si>
  <si>
    <t>OK</t>
  </si>
  <si>
    <t>チェコ航空（チェコ）</t>
  </si>
  <si>
    <t>OM</t>
  </si>
  <si>
    <t>モンゴル航空（モンゴル）</t>
  </si>
  <si>
    <t>ON</t>
  </si>
  <si>
    <t>エアナウル（ナウル）</t>
  </si>
  <si>
    <t>OU</t>
  </si>
  <si>
    <t>クロアチア航空（クロアチア）</t>
  </si>
  <si>
    <t>OS</t>
  </si>
  <si>
    <t>オーストリア航空（オーストリア）</t>
  </si>
  <si>
    <t>OV</t>
  </si>
  <si>
    <t>エストニア航空（エストニア）</t>
  </si>
  <si>
    <t>OZ</t>
  </si>
  <si>
    <t>アシアナ航空（韓国）</t>
  </si>
  <si>
    <t>PG</t>
  </si>
  <si>
    <t>バンコク航空（タイ）</t>
  </si>
  <si>
    <t>PK</t>
  </si>
  <si>
    <t>パキスタン国際航空（パキスタン）</t>
  </si>
  <si>
    <t>PS</t>
  </si>
  <si>
    <t>ウクライナ・インタナショナル航空（ウクライナ）</t>
  </si>
  <si>
    <t>PR</t>
  </si>
  <si>
    <t>フィリピン航空（フィリピン）</t>
  </si>
  <si>
    <t>PV</t>
  </si>
  <si>
    <t>ラトビア航空（ラトビア）</t>
  </si>
  <si>
    <t>PX</t>
  </si>
  <si>
    <t>エア・ニューギニ（パプアニューギニア）</t>
  </si>
  <si>
    <t>QF</t>
  </si>
  <si>
    <t>カンタス・オーストラリア航空（オーストラリア）</t>
  </si>
  <si>
    <t>QR</t>
  </si>
  <si>
    <t>カタール航空（カタール）</t>
  </si>
  <si>
    <t>QV</t>
  </si>
  <si>
    <t>ラオス航空（ラオス）</t>
  </si>
  <si>
    <t>RA</t>
  </si>
  <si>
    <t>ロイヤルネパール航空（ネパール）</t>
  </si>
  <si>
    <t>RG</t>
  </si>
  <si>
    <t>ヴァリグ・ブラジル航空（ブラジル）</t>
  </si>
  <si>
    <t>RJ</t>
  </si>
  <si>
    <t>ロイヤルヨルダン航空（ヨルダン）</t>
  </si>
  <si>
    <t>RO</t>
  </si>
  <si>
    <t>タロム・ルーマニア航空（ルーマニア）</t>
  </si>
  <si>
    <t>SA</t>
  </si>
  <si>
    <t>南アフリカ航空（南アフリカ）</t>
  </si>
  <si>
    <t>SB</t>
  </si>
  <si>
    <t>エア・カレドニアインターナショナル</t>
  </si>
  <si>
    <t xml:space="preserve">  </t>
  </si>
  <si>
    <t>（ニューカレドニア）</t>
  </si>
  <si>
    <t>SK</t>
  </si>
  <si>
    <t>スカンジナビア航空（スウェーデン）</t>
  </si>
  <si>
    <t>SQ</t>
  </si>
  <si>
    <t>シンガポール航空（シンガポール）</t>
  </si>
  <si>
    <t>SU</t>
  </si>
  <si>
    <t>アエロフロート・ロシア国際航空（ロシア）</t>
  </si>
  <si>
    <t>SV</t>
  </si>
  <si>
    <t>サウジアラビア航空（サウジアラビア）</t>
  </si>
  <si>
    <t>TA</t>
  </si>
  <si>
    <t>タカ航空（エルサルバドル）</t>
  </si>
  <si>
    <t>TG</t>
  </si>
  <si>
    <t>タイ国際航空（タイ）</t>
  </si>
  <si>
    <t>TP</t>
  </si>
  <si>
    <t>ＴＡＰポルトガル航空（ポルトガル）</t>
  </si>
  <si>
    <t>TK</t>
  </si>
  <si>
    <t>トルコ航空（トルコ）</t>
  </si>
  <si>
    <t>TN</t>
  </si>
  <si>
    <t>エア・タヒチ・ヌイ（フランス領ポリネシア）</t>
  </si>
  <si>
    <t>TW</t>
  </si>
  <si>
    <t>ＴＷＡ・トランスワールド航空（ＵＳＡ）</t>
  </si>
  <si>
    <t>UA</t>
  </si>
  <si>
    <t>ユナイテッド航空（ＵＳＡ）</t>
  </si>
  <si>
    <t>UB</t>
  </si>
  <si>
    <t>ミャンマー国際航空（ミャンマー）</t>
  </si>
  <si>
    <t>UC</t>
  </si>
  <si>
    <t>ラデコ・チリ航空（チリ）</t>
  </si>
  <si>
    <t>UK</t>
  </si>
  <si>
    <t>エアＵＫ（イギリス）</t>
  </si>
  <si>
    <t>UL</t>
  </si>
  <si>
    <t>スリランカ航空（スリランカ）</t>
  </si>
  <si>
    <t>US</t>
  </si>
  <si>
    <t>ＵＳエア（ＵＳＡ）</t>
  </si>
  <si>
    <t>VC</t>
  </si>
  <si>
    <t>サービベンザ航空（ベネズエラ）</t>
  </si>
  <si>
    <t>VJ</t>
  </si>
  <si>
    <t>ロイヤル・エア・カンボジア（カンボジア）</t>
  </si>
  <si>
    <t>VN</t>
  </si>
  <si>
    <t>ベトナム航空（ベトナム）</t>
  </si>
  <si>
    <t>VP</t>
  </si>
  <si>
    <t>ヴァスピ・ブラジル航空（ブラジル）</t>
  </si>
  <si>
    <t>VS</t>
  </si>
  <si>
    <t>ヴァージンアトランティック航空（イギリス）</t>
  </si>
  <si>
    <t>WH</t>
  </si>
  <si>
    <t>中国西北航空（中国）</t>
  </si>
  <si>
    <t>WN</t>
  </si>
  <si>
    <t>サウスウエスト航空（ＵＳＡ）</t>
  </si>
  <si>
    <t>WR</t>
  </si>
  <si>
    <t>ロイヤルトンガ航空（トンガ）</t>
  </si>
  <si>
    <t>AK</t>
  </si>
  <si>
    <t>エアアジア(マレーシア)</t>
  </si>
  <si>
    <t>XE</t>
  </si>
  <si>
    <t>カンボジア国際航空（カンボジア）</t>
  </si>
  <si>
    <t>XF</t>
  </si>
  <si>
    <t>ウラジオストック航空（ロシア）</t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</si>
</sst>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76" formatCode="##&quot;日&quot;&quot;目&quot;"/>
    <numFmt numFmtId="177" formatCode="yyyy&quot;年&quot;m&quot;月&quot;d&quot;日&quot;;@"/>
    <numFmt numFmtId="178" formatCode="_ * #,##0_ ;_ * \-#,##0_ ;_ * &quot;-&quot;??_ ;_ @_ "/>
    <numFmt numFmtId="179" formatCode="m&quot;月&quot;d&quot;日(&quot;aaa&quot;)&quot;"/>
    <numFmt numFmtId="180" formatCode="_-&quot;\&quot;* #,##0_-\ ;\-&quot;\&quot;* #,##0_-\ ;_-&quot;\&quot;* &quot;-&quot;??_-\ ;_-@_-"/>
    <numFmt numFmtId="181" formatCode="_-&quot;\&quot;* #,##0.00_-\ ;\-&quot;\&quot;* #,##0.00_-\ ;_-&quot;\&quot;* &quot;-&quot;??_-\ ;_-@_-"/>
    <numFmt numFmtId="182" formatCode="m/d;@"/>
    <numFmt numFmtId="183" formatCode="h:mm;@"/>
    <numFmt numFmtId="184" formatCode="m&quot;月&quot;d&quot;日&quot;;@"/>
    <numFmt numFmtId="185" formatCode="#&quot;日&quot;&quot;目&quot;"/>
    <numFmt numFmtId="186" formatCode="&quot;(&quot;aaa&quot;)&quot;"/>
  </numFmts>
  <fonts count="30">
    <font>
      <sz val="12"/>
      <color theme="1"/>
      <name val="ＭＳ Ｐゴシック"/>
      <charset val="134"/>
      <scheme val="minor"/>
    </font>
    <font>
      <sz val="18"/>
      <color theme="0"/>
      <name val="HG丸ｺﾞｼｯｸM-PRO"/>
      <charset val="134"/>
    </font>
    <font>
      <b/>
      <sz val="16"/>
      <color theme="9" tint="-0.25"/>
      <name val="ＭＳ Ｐゴシック"/>
      <charset val="134"/>
      <scheme val="minor"/>
    </font>
    <font>
      <b/>
      <sz val="12"/>
      <color theme="1"/>
      <name val="ＭＳ Ｐゴシック"/>
      <charset val="134"/>
      <scheme val="minor"/>
    </font>
    <font>
      <sz val="8"/>
      <color theme="1"/>
      <name val="ＭＳ Ｐゴシック"/>
      <charset val="134"/>
      <scheme val="minor"/>
    </font>
    <font>
      <b/>
      <sz val="26"/>
      <color theme="0"/>
      <name val="HG丸ｺﾞｼｯｸM-PRO"/>
      <charset val="134"/>
    </font>
    <font>
      <b/>
      <sz val="14"/>
      <color rgb="FF002060"/>
      <name val="Arial"/>
      <charset val="134"/>
    </font>
    <font>
      <b/>
      <sz val="14"/>
      <color rgb="FF002060"/>
      <name val="ＭＳ Ｐゴシック"/>
      <charset val="134"/>
    </font>
    <font>
      <sz val="10"/>
      <color theme="1"/>
      <name val="ＭＳ Ｐゴシック"/>
      <charset val="134"/>
      <scheme val="minor"/>
    </font>
    <font>
      <sz val="12"/>
      <color theme="1"/>
      <name val="HG丸ｺﾞｼｯｸM-PRO"/>
      <charset val="134"/>
    </font>
    <font>
      <sz val="8"/>
      <color theme="1"/>
      <name val="HG丸ｺﾞｼｯｸM-PRO"/>
      <charset val="134"/>
    </font>
    <font>
      <u/>
      <sz val="11"/>
      <color rgb="FF0000FF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1C981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</fills>
  <borders count="54">
    <border>
      <left/>
      <right/>
      <top/>
      <bottom/>
      <diagonal/>
    </border>
    <border>
      <left style="medium">
        <color theme="9" tint="-0.25"/>
      </left>
      <right/>
      <top style="medium">
        <color theme="9" tint="-0.25"/>
      </top>
      <bottom/>
      <diagonal/>
    </border>
    <border>
      <left/>
      <right/>
      <top style="medium">
        <color theme="9" tint="-0.25"/>
      </top>
      <bottom/>
      <diagonal/>
    </border>
    <border>
      <left/>
      <right style="medium">
        <color theme="9" tint="-0.25"/>
      </right>
      <top style="medium">
        <color theme="9" tint="-0.25"/>
      </top>
      <bottom/>
      <diagonal/>
    </border>
    <border>
      <left style="medium">
        <color theme="9" tint="-0.25"/>
      </left>
      <right/>
      <top/>
      <bottom/>
      <diagonal/>
    </border>
    <border>
      <left/>
      <right style="medium">
        <color theme="9" tint="-0.25"/>
      </right>
      <top/>
      <bottom/>
      <diagonal/>
    </border>
    <border>
      <left style="medium">
        <color theme="9" tint="-0.25"/>
      </left>
      <right/>
      <top/>
      <bottom style="medium">
        <color theme="9" tint="-0.25"/>
      </bottom>
      <diagonal/>
    </border>
    <border>
      <left/>
      <right/>
      <top/>
      <bottom style="medium">
        <color theme="9" tint="-0.25"/>
      </bottom>
      <diagonal/>
    </border>
    <border>
      <left/>
      <right style="medium">
        <color theme="9" tint="-0.25"/>
      </right>
      <top/>
      <bottom style="medium">
        <color theme="9" tint="-0.25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dashed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 style="dashed">
        <color theme="4"/>
      </top>
      <bottom style="thin">
        <color theme="4"/>
      </bottom>
      <diagonal/>
    </border>
    <border>
      <left style="thin">
        <color theme="4"/>
      </left>
      <right/>
      <top/>
      <bottom style="dashed">
        <color theme="4"/>
      </bottom>
      <diagonal/>
    </border>
    <border>
      <left/>
      <right style="thin">
        <color theme="4"/>
      </right>
      <top/>
      <bottom style="dashed">
        <color theme="4"/>
      </bottom>
      <diagonal/>
    </border>
    <border>
      <left style="thin">
        <color theme="4"/>
      </left>
      <right/>
      <top style="dashed">
        <color theme="4"/>
      </top>
      <bottom style="dashed">
        <color theme="4"/>
      </bottom>
      <diagonal/>
    </border>
    <border>
      <left/>
      <right style="thin">
        <color theme="4"/>
      </right>
      <top style="dashed">
        <color theme="4"/>
      </top>
      <bottom style="dashed">
        <color theme="4"/>
      </bottom>
      <diagonal/>
    </border>
    <border>
      <left style="thin">
        <color theme="4"/>
      </left>
      <right/>
      <top style="dashed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ashed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theme="7" tint="-0.5"/>
      </left>
      <right/>
      <top style="medium">
        <color theme="7" tint="-0.5"/>
      </top>
      <bottom style="medium">
        <color theme="7" tint="-0.5"/>
      </bottom>
      <diagonal/>
    </border>
    <border>
      <left/>
      <right style="medium">
        <color theme="7" tint="-0.5"/>
      </right>
      <top style="medium">
        <color theme="7" tint="-0.5"/>
      </top>
      <bottom style="medium">
        <color theme="7" tint="-0.5"/>
      </bottom>
      <diagonal/>
    </border>
    <border>
      <left style="medium">
        <color theme="4" tint="-0.5"/>
      </left>
      <right style="thin">
        <color theme="4" tint="-0.5"/>
      </right>
      <top style="medium">
        <color theme="4" tint="-0.5"/>
      </top>
      <bottom style="medium">
        <color theme="4" tint="-0.5"/>
      </bottom>
      <diagonal/>
    </border>
    <border>
      <left style="thin">
        <color theme="4" tint="-0.5"/>
      </left>
      <right style="medium">
        <color theme="4" tint="-0.5"/>
      </right>
      <top style="medium">
        <color theme="4" tint="-0.5"/>
      </top>
      <bottom style="medium">
        <color theme="4" tint="-0.5"/>
      </bottom>
      <diagonal/>
    </border>
    <border>
      <left style="medium">
        <color theme="9" tint="-0.25"/>
      </left>
      <right style="thin">
        <color theme="9" tint="-0.25"/>
      </right>
      <top style="medium">
        <color theme="9" tint="-0.25"/>
      </top>
      <bottom style="medium">
        <color theme="9" tint="-0.25"/>
      </bottom>
      <diagonal/>
    </border>
    <border>
      <left style="thin">
        <color theme="9" tint="-0.25"/>
      </left>
      <right style="medium">
        <color theme="9" tint="-0.25"/>
      </right>
      <top style="medium">
        <color theme="9" tint="-0.25"/>
      </top>
      <bottom style="medium">
        <color theme="9" tint="-0.25"/>
      </bottom>
      <diagonal/>
    </border>
    <border>
      <left style="medium">
        <color theme="5" tint="-0.5"/>
      </left>
      <right style="thin">
        <color theme="5" tint="-0.5"/>
      </right>
      <top style="medium">
        <color theme="5" tint="-0.5"/>
      </top>
      <bottom style="medium">
        <color theme="5" tint="-0.5"/>
      </bottom>
      <diagonal/>
    </border>
    <border>
      <left style="thin">
        <color theme="5" tint="-0.5"/>
      </left>
      <right/>
      <top style="medium">
        <color theme="5" tint="-0.5"/>
      </top>
      <bottom style="medium">
        <color theme="5" tint="-0.5"/>
      </bottom>
      <diagonal/>
    </border>
    <border>
      <left/>
      <right/>
      <top style="medium">
        <color theme="5" tint="-0.5"/>
      </top>
      <bottom style="medium">
        <color theme="5" tint="-0.5"/>
      </bottom>
      <diagonal/>
    </border>
    <border>
      <left/>
      <right style="medium">
        <color theme="5" tint="-0.5"/>
      </right>
      <top style="medium">
        <color theme="5" tint="-0.5"/>
      </top>
      <bottom style="medium">
        <color theme="5" tint="-0.5"/>
      </bottom>
      <diagonal/>
    </border>
    <border>
      <left style="thin">
        <color theme="5" tint="-0.5"/>
      </left>
      <right style="thin">
        <color theme="5" tint="-0.5"/>
      </right>
      <top style="medium">
        <color theme="5" tint="-0.5"/>
      </top>
      <bottom style="medium">
        <color theme="5" tint="-0.5"/>
      </bottom>
      <diagonal/>
    </border>
    <border>
      <left style="thin">
        <color theme="5" tint="-0.5"/>
      </left>
      <right style="medium">
        <color theme="5" tint="-0.5"/>
      </right>
      <top style="medium">
        <color theme="5" tint="-0.5"/>
      </top>
      <bottom style="medium">
        <color theme="5" tint="-0.5"/>
      </bottom>
      <diagonal/>
    </border>
    <border>
      <left style="medium">
        <color theme="5" tint="-0.5"/>
      </left>
      <right style="thin">
        <color theme="5" tint="-0.5"/>
      </right>
      <top style="medium">
        <color theme="5" tint="-0.5"/>
      </top>
      <bottom/>
      <diagonal/>
    </border>
    <border>
      <left style="thin">
        <color theme="5" tint="-0.5"/>
      </left>
      <right/>
      <top style="medium">
        <color theme="5" tint="-0.5"/>
      </top>
      <bottom/>
      <diagonal/>
    </border>
    <border>
      <left/>
      <right/>
      <top style="medium">
        <color theme="5" tint="-0.5"/>
      </top>
      <bottom/>
      <diagonal/>
    </border>
    <border>
      <left/>
      <right style="medium">
        <color theme="5" tint="-0.5"/>
      </right>
      <top style="medium">
        <color theme="5" tint="-0.5"/>
      </top>
      <bottom/>
      <diagonal/>
    </border>
    <border>
      <left style="medium">
        <color theme="5" tint="-0.5"/>
      </left>
      <right style="thin">
        <color theme="5" tint="-0.5"/>
      </right>
      <top/>
      <bottom/>
      <diagonal/>
    </border>
    <border>
      <left style="thin">
        <color theme="5" tint="-0.5"/>
      </left>
      <right/>
      <top/>
      <bottom/>
      <diagonal/>
    </border>
    <border>
      <left/>
      <right style="medium">
        <color theme="5" tint="-0.5"/>
      </right>
      <top/>
      <bottom/>
      <diagonal/>
    </border>
    <border>
      <left style="medium">
        <color theme="5" tint="-0.5"/>
      </left>
      <right style="thin">
        <color theme="5" tint="-0.5"/>
      </right>
      <top/>
      <bottom style="medium">
        <color theme="5" tint="-0.5"/>
      </bottom>
      <diagonal/>
    </border>
    <border>
      <left style="thin">
        <color theme="5" tint="-0.5"/>
      </left>
      <right/>
      <top/>
      <bottom style="medium">
        <color theme="5" tint="-0.5"/>
      </bottom>
      <diagonal/>
    </border>
    <border>
      <left/>
      <right/>
      <top/>
      <bottom style="medium">
        <color theme="5" tint="-0.5"/>
      </bottom>
      <diagonal/>
    </border>
    <border>
      <left/>
      <right style="medium">
        <color theme="5" tint="-0.5"/>
      </right>
      <top/>
      <bottom style="medium">
        <color theme="5" tint="-0.5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1" borderId="50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46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7" borderId="48" applyNumberFormat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29" fillId="0" borderId="47" applyNumberFormat="0" applyFill="0" applyAlignment="0" applyProtection="0">
      <alignment vertical="center"/>
    </xf>
    <xf numFmtId="0" fontId="22" fillId="17" borderId="50" applyNumberFormat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23" borderId="51" applyNumberFormat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5" fillId="0" borderId="52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82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83" fontId="3" fillId="3" borderId="0" xfId="0" applyNumberFormat="1" applyFont="1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83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83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176" fontId="0" fillId="0" borderId="6" xfId="0" applyNumberForma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83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>
      <alignment vertical="center"/>
    </xf>
    <xf numFmtId="184" fontId="0" fillId="0" borderId="0" xfId="0" applyNumberFormat="1">
      <alignment vertical="center"/>
    </xf>
    <xf numFmtId="183" fontId="0" fillId="0" borderId="0" xfId="0" applyNumberFormat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183" fontId="5" fillId="4" borderId="0" xfId="0" applyNumberFormat="1" applyFont="1" applyFill="1" applyAlignment="1">
      <alignment horizontal="center" vertical="center"/>
    </xf>
    <xf numFmtId="177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183" fontId="3" fillId="5" borderId="10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83" fontId="3" fillId="5" borderId="13" xfId="0" applyNumberFormat="1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85" fontId="3" fillId="0" borderId="9" xfId="0" applyNumberFormat="1" applyFont="1" applyBorder="1" applyAlignment="1">
      <alignment horizontal="center" vertical="center"/>
    </xf>
    <xf numFmtId="182" fontId="3" fillId="0" borderId="9" xfId="0" applyNumberFormat="1" applyFont="1" applyBorder="1" applyAlignment="1">
      <alignment horizontal="center" vertical="center"/>
    </xf>
    <xf numFmtId="183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185" fontId="3" fillId="0" borderId="12" xfId="0" applyNumberFormat="1" applyFont="1" applyBorder="1" applyAlignment="1">
      <alignment horizontal="center" vertical="center"/>
    </xf>
    <xf numFmtId="186" fontId="3" fillId="0" borderId="12" xfId="0" applyNumberFormat="1" applyFont="1" applyBorder="1" applyAlignment="1">
      <alignment horizontal="center" vertical="center"/>
    </xf>
    <xf numFmtId="183" fontId="0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/>
    </xf>
    <xf numFmtId="183" fontId="0" fillId="0" borderId="19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>
      <alignment vertical="center"/>
    </xf>
    <xf numFmtId="183" fontId="0" fillId="0" borderId="2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85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5" fontId="0" fillId="0" borderId="0" xfId="0" applyNumberForma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5" borderId="26" xfId="0" applyNumberFormat="1" applyFont="1" applyFill="1" applyBorder="1" applyAlignment="1">
      <alignment horizontal="center" vertical="center" shrinkToFit="1"/>
    </xf>
    <xf numFmtId="0" fontId="9" fillId="7" borderId="28" xfId="0" applyNumberFormat="1" applyFont="1" applyFill="1" applyBorder="1" applyAlignment="1">
      <alignment horizontal="center" vertical="center" shrinkToFit="1"/>
    </xf>
    <xf numFmtId="182" fontId="9" fillId="5" borderId="26" xfId="0" applyNumberFormat="1" applyFont="1" applyFill="1" applyBorder="1" applyAlignment="1">
      <alignment horizontal="center" vertical="center"/>
    </xf>
    <xf numFmtId="182" fontId="9" fillId="7" borderId="28" xfId="0" applyNumberFormat="1" applyFont="1" applyFill="1" applyBorder="1" applyAlignment="1">
      <alignment horizontal="center" vertical="center"/>
    </xf>
    <xf numFmtId="183" fontId="9" fillId="5" borderId="26" xfId="0" applyNumberFormat="1" applyFont="1" applyFill="1" applyBorder="1" applyAlignment="1">
      <alignment horizontal="center" vertical="center"/>
    </xf>
    <xf numFmtId="183" fontId="9" fillId="7" borderId="28" xfId="0" applyNumberFormat="1" applyFont="1" applyFill="1" applyBorder="1" applyAlignment="1">
      <alignment horizontal="center" vertical="center"/>
    </xf>
    <xf numFmtId="0" fontId="9" fillId="0" borderId="29" xfId="0" applyFont="1" applyBorder="1">
      <alignment vertical="center"/>
    </xf>
    <xf numFmtId="182" fontId="9" fillId="8" borderId="30" xfId="0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82" fontId="9" fillId="8" borderId="32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8" borderId="33" xfId="0" applyFont="1" applyFill="1" applyBorder="1" applyAlignment="1">
      <alignment horizontal="left" vertical="center" shrinkToFit="1"/>
    </xf>
    <xf numFmtId="0" fontId="9" fillId="8" borderId="34" xfId="0" applyFont="1" applyFill="1" applyBorder="1" applyAlignment="1">
      <alignment horizontal="left" vertical="center" shrinkToFit="1"/>
    </xf>
    <xf numFmtId="0" fontId="9" fillId="0" borderId="35" xfId="0" applyFont="1" applyBorder="1" applyAlignment="1">
      <alignment horizontal="center" vertical="center"/>
    </xf>
    <xf numFmtId="0" fontId="10" fillId="8" borderId="36" xfId="0" applyFont="1" applyFill="1" applyBorder="1" applyAlignment="1">
      <alignment horizontal="left" vertical="center" wrapText="1" shrinkToFit="1"/>
    </xf>
    <xf numFmtId="0" fontId="10" fillId="8" borderId="37" xfId="0" applyFont="1" applyFill="1" applyBorder="1" applyAlignment="1">
      <alignment horizontal="left" vertical="center" wrapText="1" shrinkToFit="1"/>
    </xf>
    <xf numFmtId="0" fontId="10" fillId="8" borderId="38" xfId="0" applyFont="1" applyFill="1" applyBorder="1" applyAlignment="1">
      <alignment horizontal="left" vertical="center" wrapText="1" shrinkToFit="1"/>
    </xf>
    <xf numFmtId="0" fontId="9" fillId="0" borderId="39" xfId="0" applyFont="1" applyBorder="1" applyAlignment="1">
      <alignment horizontal="center" vertical="center"/>
    </xf>
    <xf numFmtId="0" fontId="10" fillId="8" borderId="40" xfId="0" applyFont="1" applyFill="1" applyBorder="1" applyAlignment="1">
      <alignment horizontal="left" vertical="center" wrapText="1" shrinkToFit="1"/>
    </xf>
    <xf numFmtId="0" fontId="10" fillId="8" borderId="0" xfId="0" applyFont="1" applyFill="1" applyAlignment="1">
      <alignment horizontal="left" vertical="center" wrapText="1" shrinkToFit="1"/>
    </xf>
    <xf numFmtId="0" fontId="10" fillId="8" borderId="41" xfId="0" applyFont="1" applyFill="1" applyBorder="1" applyAlignment="1">
      <alignment horizontal="left" vertical="center" wrapText="1" shrinkToFit="1"/>
    </xf>
    <xf numFmtId="0" fontId="9" fillId="0" borderId="42" xfId="0" applyFont="1" applyBorder="1" applyAlignment="1">
      <alignment horizontal="center" vertical="center"/>
    </xf>
    <xf numFmtId="0" fontId="10" fillId="8" borderId="43" xfId="0" applyFont="1" applyFill="1" applyBorder="1" applyAlignment="1">
      <alignment horizontal="left" vertical="center" wrapText="1" shrinkToFit="1"/>
    </xf>
    <xf numFmtId="0" fontId="10" fillId="8" borderId="44" xfId="0" applyFont="1" applyFill="1" applyBorder="1" applyAlignment="1">
      <alignment horizontal="left" vertical="center" wrapText="1" shrinkToFit="1"/>
    </xf>
    <xf numFmtId="0" fontId="10" fillId="8" borderId="45" xfId="0" applyFont="1" applyFill="1" applyBorder="1" applyAlignment="1">
      <alignment horizontal="left" vertical="center" wrapText="1" shrinkToFit="1"/>
    </xf>
    <xf numFmtId="0" fontId="9" fillId="8" borderId="33" xfId="0" applyFont="1" applyFill="1" applyBorder="1" applyAlignment="1">
      <alignment vertical="center"/>
    </xf>
    <xf numFmtId="0" fontId="9" fillId="8" borderId="34" xfId="0" applyFont="1" applyFill="1" applyBorder="1" applyAlignment="1">
      <alignment vertical="center"/>
    </xf>
    <xf numFmtId="0" fontId="10" fillId="8" borderId="36" xfId="0" applyFont="1" applyFill="1" applyBorder="1" applyAlignment="1">
      <alignment horizontal="left" vertical="center" wrapText="1" shrinkToFit="1"/>
    </xf>
    <xf numFmtId="0" fontId="9" fillId="8" borderId="33" xfId="0" applyFont="1" applyFill="1" applyBorder="1" applyAlignment="1">
      <alignment horizontal="left" vertical="center"/>
    </xf>
    <xf numFmtId="0" fontId="9" fillId="8" borderId="34" xfId="0" applyFont="1" applyFill="1" applyBorder="1" applyAlignment="1">
      <alignment horizontal="lef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ill>
        <patternFill patternType="solid">
          <bgColor theme="4" tint="0.8"/>
        </patternFill>
      </fill>
    </dxf>
  </dxfs>
  <tableStyles count="0" defaultTableStyle="TableStyleMedium2" defaultPivotStyle="PivotStyleLight16"/>
  <colors>
    <mruColors>
      <color rgb="001C981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autoPageBreaks="0"/>
  </sheetPr>
  <dimension ref="B2:O29"/>
  <sheetViews>
    <sheetView showGridLines="0" showRowColHeaders="0" tabSelected="1" workbookViewId="0">
      <selection activeCell="C29" sqref="C29"/>
    </sheetView>
  </sheetViews>
  <sheetFormatPr defaultColWidth="9" defaultRowHeight="14.25"/>
  <cols>
    <col min="1" max="1" width="3.25" style="68" customWidth="1"/>
    <col min="2" max="2" width="11.875" style="69" customWidth="1"/>
    <col min="3" max="3" width="9.625" style="69" customWidth="1"/>
    <col min="4" max="4" width="14.625" style="69" customWidth="1"/>
    <col min="5" max="5" width="3.60833333333333" style="69" customWidth="1"/>
    <col min="6" max="6" width="11.875" style="69" customWidth="1"/>
    <col min="7" max="7" width="9.625" style="69" customWidth="1"/>
    <col min="8" max="8" width="14.625" style="69" customWidth="1"/>
    <col min="9" max="9" width="9" style="68"/>
    <col min="10" max="10" width="14" style="68" customWidth="1"/>
    <col min="11" max="16384" width="9" style="68"/>
  </cols>
  <sheetData>
    <row r="2" spans="4:4">
      <c r="D2" s="70" t="s">
        <v>0</v>
      </c>
    </row>
    <row r="3" ht="15" spans="4:4">
      <c r="D3" s="70"/>
    </row>
    <row r="4" ht="15" spans="2:4">
      <c r="B4" s="71" t="s">
        <v>1</v>
      </c>
      <c r="C4" s="72" t="s">
        <v>2</v>
      </c>
      <c r="D4" s="73"/>
    </row>
    <row r="5" ht="15"/>
    <row r="6" ht="15" spans="2:14">
      <c r="B6" s="71" t="s">
        <v>3</v>
      </c>
      <c r="C6" s="74" t="s">
        <v>4</v>
      </c>
      <c r="D6" s="75" t="s">
        <v>5</v>
      </c>
      <c r="F6" s="71" t="s">
        <v>6</v>
      </c>
      <c r="G6" s="76" t="s">
        <v>4</v>
      </c>
      <c r="H6" s="77" t="s">
        <v>7</v>
      </c>
      <c r="J6" s="71" t="s">
        <v>8</v>
      </c>
      <c r="K6" s="84" t="s">
        <v>9</v>
      </c>
      <c r="L6" s="85">
        <v>43918</v>
      </c>
      <c r="M6" s="86" t="s">
        <v>10</v>
      </c>
      <c r="N6" s="87">
        <v>43922</v>
      </c>
    </row>
    <row r="7" ht="9" customHeight="1" spans="10:10">
      <c r="J7" s="69"/>
    </row>
    <row r="8" ht="15" spans="3:15">
      <c r="C8" s="74" t="s">
        <v>11</v>
      </c>
      <c r="D8" s="78" t="s">
        <v>12</v>
      </c>
      <c r="G8" s="76" t="s">
        <v>11</v>
      </c>
      <c r="H8" s="79" t="s">
        <v>13</v>
      </c>
      <c r="J8" s="69"/>
      <c r="K8" s="88" t="s">
        <v>14</v>
      </c>
      <c r="L8" s="89" t="s">
        <v>15</v>
      </c>
      <c r="M8" s="89"/>
      <c r="N8" s="89"/>
      <c r="O8" s="90"/>
    </row>
    <row r="9" ht="9" customHeight="1" spans="10:15">
      <c r="J9" s="69"/>
      <c r="K9" s="69"/>
      <c r="L9" s="69"/>
      <c r="M9" s="69"/>
      <c r="N9" s="69"/>
      <c r="O9" s="69"/>
    </row>
    <row r="10" s="68" customFormat="1" ht="15" spans="2:15">
      <c r="B10" s="69"/>
      <c r="C10" s="74" t="s">
        <v>16</v>
      </c>
      <c r="D10" s="80">
        <v>43918</v>
      </c>
      <c r="E10" s="69"/>
      <c r="F10" s="69"/>
      <c r="G10" s="76" t="s">
        <v>16</v>
      </c>
      <c r="H10" s="81">
        <v>43924</v>
      </c>
      <c r="J10" s="69"/>
      <c r="K10" s="91" t="s">
        <v>17</v>
      </c>
      <c r="L10" s="92" t="s">
        <v>18</v>
      </c>
      <c r="M10" s="93"/>
      <c r="N10" s="93"/>
      <c r="O10" s="94"/>
    </row>
    <row r="11" s="68" customFormat="1" ht="9" customHeight="1" spans="2:15">
      <c r="B11" s="69"/>
      <c r="C11" s="69"/>
      <c r="D11" s="69"/>
      <c r="E11" s="69"/>
      <c r="F11" s="69"/>
      <c r="G11" s="69"/>
      <c r="H11" s="69"/>
      <c r="K11" s="95"/>
      <c r="L11" s="96"/>
      <c r="M11" s="97"/>
      <c r="N11" s="97"/>
      <c r="O11" s="98"/>
    </row>
    <row r="12" ht="15" spans="3:15">
      <c r="C12" s="74" t="s">
        <v>19</v>
      </c>
      <c r="D12" s="82">
        <v>0.916666666666667</v>
      </c>
      <c r="G12" s="76" t="s">
        <v>19</v>
      </c>
      <c r="H12" s="83">
        <v>0.861111111111111</v>
      </c>
      <c r="K12" s="99"/>
      <c r="L12" s="100"/>
      <c r="M12" s="101"/>
      <c r="N12" s="101"/>
      <c r="O12" s="102"/>
    </row>
    <row r="13" ht="9" customHeight="1"/>
    <row r="14" ht="15" spans="3:15">
      <c r="C14" s="74" t="s">
        <v>20</v>
      </c>
      <c r="D14" s="82">
        <v>0.25</v>
      </c>
      <c r="G14" s="76" t="s">
        <v>20</v>
      </c>
      <c r="H14" s="83">
        <v>0.909722222222222</v>
      </c>
      <c r="K14" s="88" t="s">
        <v>21</v>
      </c>
      <c r="L14" s="103" t="s">
        <v>22</v>
      </c>
      <c r="M14" s="103"/>
      <c r="N14" s="103"/>
      <c r="O14" s="104"/>
    </row>
    <row r="15" ht="19" customHeight="1"/>
    <row r="16" ht="15" spans="3:14">
      <c r="C16" s="74" t="s">
        <v>23</v>
      </c>
      <c r="D16" s="75" t="s">
        <v>24</v>
      </c>
      <c r="G16" s="76" t="s">
        <v>23</v>
      </c>
      <c r="H16" s="77" t="s">
        <v>25</v>
      </c>
      <c r="J16" s="71" t="s">
        <v>26</v>
      </c>
      <c r="K16" s="84" t="s">
        <v>9</v>
      </c>
      <c r="L16" s="85">
        <v>43922</v>
      </c>
      <c r="M16" s="86" t="s">
        <v>10</v>
      </c>
      <c r="N16" s="87">
        <v>43924</v>
      </c>
    </row>
    <row r="17" ht="9" customHeight="1" spans="10:10">
      <c r="J17" s="69"/>
    </row>
    <row r="18" ht="15" spans="3:15">
      <c r="C18" s="74" t="s">
        <v>11</v>
      </c>
      <c r="D18" s="78" t="s">
        <v>27</v>
      </c>
      <c r="G18" s="76" t="s">
        <v>11</v>
      </c>
      <c r="H18" s="79" t="s">
        <v>28</v>
      </c>
      <c r="J18" s="69"/>
      <c r="K18" s="88" t="s">
        <v>14</v>
      </c>
      <c r="L18" s="89" t="s">
        <v>29</v>
      </c>
      <c r="M18" s="89"/>
      <c r="N18" s="89"/>
      <c r="O18" s="90"/>
    </row>
    <row r="19" ht="9" customHeight="1" spans="10:15">
      <c r="J19" s="69"/>
      <c r="K19" s="69"/>
      <c r="L19" s="69"/>
      <c r="M19" s="69"/>
      <c r="N19" s="69"/>
      <c r="O19" s="69"/>
    </row>
    <row r="20" s="68" customFormat="1" ht="15" spans="2:15">
      <c r="B20" s="69"/>
      <c r="C20" s="74" t="s">
        <v>16</v>
      </c>
      <c r="D20" s="80">
        <v>43919</v>
      </c>
      <c r="E20" s="69"/>
      <c r="F20" s="69"/>
      <c r="G20" s="76" t="s">
        <v>16</v>
      </c>
      <c r="H20" s="81">
        <v>43924</v>
      </c>
      <c r="J20" s="69"/>
      <c r="K20" s="91" t="s">
        <v>17</v>
      </c>
      <c r="L20" s="105" t="s">
        <v>30</v>
      </c>
      <c r="M20" s="93"/>
      <c r="N20" s="93"/>
      <c r="O20" s="94"/>
    </row>
    <row r="21" s="68" customFormat="1" ht="9" customHeight="1" spans="2:15">
      <c r="B21" s="69"/>
      <c r="C21" s="69"/>
      <c r="D21" s="69"/>
      <c r="E21" s="69"/>
      <c r="F21" s="69"/>
      <c r="G21" s="69"/>
      <c r="H21" s="69"/>
      <c r="K21" s="95"/>
      <c r="L21" s="96"/>
      <c r="M21" s="97"/>
      <c r="N21" s="97"/>
      <c r="O21" s="98"/>
    </row>
    <row r="22" ht="15" spans="3:15">
      <c r="C22" s="74" t="s">
        <v>19</v>
      </c>
      <c r="D22" s="82">
        <v>0.333333333333333</v>
      </c>
      <c r="G22" s="76" t="s">
        <v>19</v>
      </c>
      <c r="H22" s="83">
        <v>0.986111111111111</v>
      </c>
      <c r="K22" s="99"/>
      <c r="L22" s="100"/>
      <c r="M22" s="101"/>
      <c r="N22" s="101"/>
      <c r="O22" s="102"/>
    </row>
    <row r="23" ht="9" customHeight="1"/>
    <row r="24" ht="15" spans="3:15">
      <c r="C24" s="74" t="s">
        <v>20</v>
      </c>
      <c r="D24" s="82">
        <v>0.416666666666667</v>
      </c>
      <c r="G24" s="76" t="s">
        <v>20</v>
      </c>
      <c r="H24" s="83">
        <v>0.368055555555556</v>
      </c>
      <c r="K24" s="88" t="s">
        <v>21</v>
      </c>
      <c r="L24" s="106" t="s">
        <v>31</v>
      </c>
      <c r="M24" s="106"/>
      <c r="N24" s="106"/>
      <c r="O24" s="107"/>
    </row>
    <row r="25" ht="19" customHeight="1"/>
    <row r="27" ht="9" customHeight="1"/>
    <row r="29" ht="9" customHeight="1"/>
  </sheetData>
  <mergeCells count="9">
    <mergeCell ref="C4:D4"/>
    <mergeCell ref="L8:O8"/>
    <mergeCell ref="L14:O14"/>
    <mergeCell ref="L18:O18"/>
    <mergeCell ref="L24:O24"/>
    <mergeCell ref="K10:K12"/>
    <mergeCell ref="K20:K22"/>
    <mergeCell ref="L10:O12"/>
    <mergeCell ref="L20:O2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 autoPageBreaks="0"/>
  </sheetPr>
  <dimension ref="A1:H47"/>
  <sheetViews>
    <sheetView showZeros="0" zoomScale="80" zoomScaleNormal="80" workbookViewId="0">
      <selection activeCell="P1" sqref="P1"/>
    </sheetView>
  </sheetViews>
  <sheetFormatPr defaultColWidth="9" defaultRowHeight="14.25" outlineLevelCol="7"/>
  <cols>
    <col min="1" max="1" width="7.375" customWidth="1"/>
    <col min="2" max="2" width="5.375" style="2" customWidth="1"/>
    <col min="3" max="3" width="5.625" style="28" customWidth="1"/>
    <col min="4" max="4" width="93.875" customWidth="1"/>
    <col min="5" max="7" width="3.375" customWidth="1"/>
    <col min="8" max="8" width="36.375" customWidth="1"/>
  </cols>
  <sheetData>
    <row r="1" ht="57" customHeight="1" spans="1:8">
      <c r="A1" s="29" t="str">
        <f>基本情報入力!$C$4&amp;" 旅行行程表"</f>
        <v>バリ島 旅行行程表</v>
      </c>
      <c r="B1" s="30"/>
      <c r="C1" s="31"/>
      <c r="D1" s="30"/>
      <c r="E1" s="30"/>
      <c r="F1" s="30"/>
      <c r="G1" s="30"/>
      <c r="H1" s="30"/>
    </row>
    <row r="3" ht="18" spans="4:8">
      <c r="D3" s="32">
        <f>基本情報入力!$D$10</f>
        <v>43918</v>
      </c>
      <c r="E3" s="32"/>
      <c r="F3" s="32"/>
      <c r="G3" s="33" t="s">
        <v>10</v>
      </c>
      <c r="H3" s="34">
        <f>IF(HOUR(基本情報入力!$H$12)&gt;18,基本情報入力!$H$10+1,基本情報入力!$H$10)</f>
        <v>43925</v>
      </c>
    </row>
    <row r="5" spans="1:8">
      <c r="A5" s="35" t="s">
        <v>32</v>
      </c>
      <c r="B5" s="35" t="s">
        <v>33</v>
      </c>
      <c r="C5" s="36" t="s">
        <v>34</v>
      </c>
      <c r="D5" s="37" t="s">
        <v>35</v>
      </c>
      <c r="E5" s="35" t="s">
        <v>36</v>
      </c>
      <c r="F5" s="38"/>
      <c r="G5" s="38"/>
      <c r="H5" s="35" t="s">
        <v>37</v>
      </c>
    </row>
    <row r="6" spans="1:8">
      <c r="A6" s="39"/>
      <c r="B6" s="39"/>
      <c r="C6" s="40"/>
      <c r="D6" s="41"/>
      <c r="E6" s="42" t="s">
        <v>38</v>
      </c>
      <c r="F6" s="42" t="s">
        <v>39</v>
      </c>
      <c r="G6" s="42" t="s">
        <v>40</v>
      </c>
      <c r="H6" s="39"/>
    </row>
    <row r="7" spans="1:8">
      <c r="A7" s="43">
        <v>1</v>
      </c>
      <c r="B7" s="44">
        <f>基本情報入力!$D$10</f>
        <v>43918</v>
      </c>
      <c r="C7" s="45" t="str">
        <f>HLOOKUP(Sheet4!$G$2&amp;1,Sheet4!$D$6:$K$14,2,FALSE)</f>
        <v/>
      </c>
      <c r="D7" s="46" t="str">
        <f>HLOOKUP(Sheet4!$G$2&amp;2,Sheet4!$D$6:$K$14,2,FALSE)</f>
        <v/>
      </c>
      <c r="E7" s="47"/>
      <c r="F7" s="47"/>
      <c r="G7" s="47"/>
      <c r="H7" s="48" t="str">
        <f>IF(Sheet4!$F$2="Y","機中泊",基本情報入力!$L$8)</f>
        <v>機中泊</v>
      </c>
    </row>
    <row r="8" spans="1:8">
      <c r="A8" s="49"/>
      <c r="B8" s="50">
        <f>B7</f>
        <v>43918</v>
      </c>
      <c r="C8" s="51" t="str">
        <f>HLOOKUP(Sheet4!$G$2&amp;1,Sheet4!$D$6:$K$14,3,FALSE)</f>
        <v/>
      </c>
      <c r="D8" s="52" t="str">
        <f>HLOOKUP(Sheet4!$G$2&amp;2,Sheet4!$D$6:$K$14,3,FALSE)</f>
        <v/>
      </c>
      <c r="E8" s="53" t="str">
        <f>IF(HOUR(基本情報入力!$D$12)&lt;9,"◎","")</f>
        <v/>
      </c>
      <c r="F8" s="53" t="str">
        <f>IF(HOUR(基本情報入力!$D$12)&lt;13,"◎","")</f>
        <v/>
      </c>
      <c r="G8" s="53" t="str">
        <f>IF(HOUR(基本情報入力!$D$12)&lt;24,"◎","")</f>
        <v>◎</v>
      </c>
      <c r="H8" s="54" t="str">
        <f>IF(H7="機中泊","",基本情報入力!$L$10)</f>
        <v/>
      </c>
    </row>
    <row r="9" spans="1:8">
      <c r="A9" s="49"/>
      <c r="B9" s="55"/>
      <c r="C9" s="51" t="str">
        <f>HLOOKUP(Sheet4!$G$2&amp;1,Sheet4!$D$6:$K$14,4,FALSE)</f>
        <v/>
      </c>
      <c r="D9" s="52" t="str">
        <f>HLOOKUP(Sheet4!$G$2&amp;2,Sheet4!$D$6:$K$14,4,FALSE)</f>
        <v>ガルーダ・インドネシア航空（インドネシア）</v>
      </c>
      <c r="E9" s="53"/>
      <c r="F9" s="53"/>
      <c r="G9" s="53"/>
      <c r="H9" s="56"/>
    </row>
    <row r="10" spans="1:8">
      <c r="A10" s="49"/>
      <c r="B10" s="57"/>
      <c r="C10" s="58">
        <f>HLOOKUP(Sheet4!$G$2&amp;1,Sheet4!$D$6:$K$14,5,FALSE)</f>
        <v>0.916666666666667</v>
      </c>
      <c r="D10" s="59" t="str">
        <f>HLOOKUP(Sheet4!$G$2&amp;2,Sheet4!$D$6:$K$14,5,FALSE)</f>
        <v>成田空港 発 (GA881)</v>
      </c>
      <c r="E10" s="53"/>
      <c r="F10" s="53"/>
      <c r="G10" s="53"/>
      <c r="H10" s="60" t="str">
        <f>IF(H7="機中泊","","📞"&amp;基本情報入力!$L$14)</f>
        <v/>
      </c>
    </row>
    <row r="11" spans="1:8">
      <c r="A11" s="43">
        <v>2</v>
      </c>
      <c r="B11" s="44">
        <f>B7+1</f>
        <v>43919</v>
      </c>
      <c r="C11" s="61">
        <f>HLOOKUP(Sheet4!$G$2&amp;1,Sheet4!$D$6:$K$14,6,FALSE)</f>
        <v>0.25</v>
      </c>
      <c r="D11" s="62" t="str">
        <f>HLOOKUP(Sheet4!$G$2&amp;2,Sheet4!$D$6:$K$14,6,FALSE)</f>
        <v>クアラルンプール 着</v>
      </c>
      <c r="E11" s="47"/>
      <c r="F11" s="47"/>
      <c r="G11" s="47"/>
      <c r="H11" s="48" t="str">
        <f>IF(H7="機中泊",基本情報入力!$L$8,IF(B11&lt;基本情報入力!$N$6,H7,基本情報入力!$L$18))</f>
        <v>カジャネ・ムア</v>
      </c>
    </row>
    <row r="12" spans="1:8">
      <c r="A12" s="49"/>
      <c r="B12" s="50">
        <f>B11</f>
        <v>43919</v>
      </c>
      <c r="C12" s="51">
        <f>HLOOKUP(Sheet4!$G$2&amp;1,Sheet4!$D$6:$K$14,7,FALSE)</f>
        <v>0</v>
      </c>
      <c r="D12" s="46" t="str">
        <f>HLOOKUP(Sheet4!$G$2&amp;2,Sheet4!$D$6:$K$14,7,FALSE)</f>
        <v>エアアジア(マレーシア)</v>
      </c>
      <c r="E12" s="53" t="str">
        <f>IF(HOUR(基本情報入力!$D$22)&lt;9,"◎","")</f>
        <v>◎</v>
      </c>
      <c r="F12" s="53" t="str">
        <f>IF(HOUR(基本情報入力!$D$22)&gt;10,"◎","")</f>
        <v/>
      </c>
      <c r="G12" s="53"/>
      <c r="H12" s="54" t="str">
        <f>IF(H7="機中泊",基本情報入力!$L$10,IF(B11&lt;基本情報入力!$N$6,"",IF(B11=基本情報入力!$L$16,基本情報入力!$L$20,"")))</f>
        <v>Jl. Monkey Forest No.20, Ubud, Kecamatan Ubud, Kabupaten Gianyar, Bali 80571 インドネシア</v>
      </c>
    </row>
    <row r="13" spans="1:8">
      <c r="A13" s="49"/>
      <c r="B13" s="55"/>
      <c r="C13" s="51">
        <f>HLOOKUP(Sheet4!$G$2&amp;1,Sheet4!$D$6:$K$14,8,FALSE)</f>
        <v>0.333333333333333</v>
      </c>
      <c r="D13" s="46" t="str">
        <f>HLOOKUP(Sheet4!$G$2&amp;2,Sheet4!$D$6:$K$14,8,FALSE)</f>
        <v>クアラルンプール 発 (AK001)</v>
      </c>
      <c r="E13" s="53"/>
      <c r="F13" s="53"/>
      <c r="G13" s="53"/>
      <c r="H13" s="56"/>
    </row>
    <row r="14" spans="1:8">
      <c r="A14" s="49"/>
      <c r="B14" s="57"/>
      <c r="C14" s="58">
        <f>HLOOKUP(Sheet4!$G$2&amp;1,Sheet4!$D$6:$K$14,9,FALSE)</f>
        <v>0.416666666666667</v>
      </c>
      <c r="D14" s="63" t="str">
        <f>HLOOKUP(Sheet4!$G$2&amp;2,Sheet4!$D$6:$K$14,9,FALSE)</f>
        <v>デンパサール 着</v>
      </c>
      <c r="E14" s="53"/>
      <c r="F14" s="53"/>
      <c r="G14" s="53"/>
      <c r="H14" s="60" t="str">
        <f>IF(H7="機中泊","📞"&amp;基本情報入力!$L$14,IF(B11&lt;基本情報入力!$N$6,"",IF(B11=基本情報入力!$L$16,"📞"&amp;基本情報入力!$L$24,"")))</f>
        <v>📞62 361 972877</v>
      </c>
    </row>
    <row r="15" spans="1:8">
      <c r="A15" s="43">
        <v>3</v>
      </c>
      <c r="B15" s="44">
        <f>B11+1</f>
        <v>43920</v>
      </c>
      <c r="C15" s="61" t="str">
        <f>IF(B15=基本情報入力!$H$10,HLOOKUP(Sheet4!$G$3&amp;1,Sheet4!$D$16:$K$21,2,FALSE),"")</f>
        <v/>
      </c>
      <c r="D15" s="62" t="str">
        <f>IF(B15=基本情報入力!$H$10,HLOOKUP(Sheet4!$G$3&amp;2,Sheet4!$D$16:$K$21,2,FALSE),"")</f>
        <v/>
      </c>
      <c r="E15" s="47"/>
      <c r="F15" s="47"/>
      <c r="G15" s="47"/>
      <c r="H15" s="48" t="str">
        <f>IF(B15&lt;基本情報入力!$N$6,H11,IF(AND(基本情報入力!$L$18&lt;&gt;"",B15&lt;基本情報入力!$N$16),基本情報入力!$L$18,IF(OR(H11="",H11="機中泊"),"",IF(Sheet4!$F$3="Y","機中泊",""))))</f>
        <v>カジャネ・ムア</v>
      </c>
    </row>
    <row r="16" spans="1:8">
      <c r="A16" s="49"/>
      <c r="B16" s="50">
        <f>B15</f>
        <v>43920</v>
      </c>
      <c r="C16" s="51" t="str">
        <f>IF(B15=基本情報入力!$H$10,HLOOKUP(Sheet4!$G$3&amp;1,Sheet4!$D$16:$K$21,3,FALSE),"")</f>
        <v/>
      </c>
      <c r="D16" s="46" t="str">
        <f>IF(B15=基本情報入力!$H$10,HLOOKUP(Sheet4!$G$3&amp;2,Sheet4!$D$16:$K$21,3,FALSE),"")</f>
        <v/>
      </c>
      <c r="E16" s="53" t="str">
        <f>IF(AND($B15=基本情報入力!$H$10,HOUR(基本情報入力!$H$12)&lt;9),"◎",IF(AND($B15=基本情報入力!$H$20+1,HOUR(基本情報入力!$H$22)&gt;21),"◎",""))</f>
        <v/>
      </c>
      <c r="F16" s="53" t="str">
        <f>IF(AND($B15=基本情報入力!$H$10,HOUR(基本情報入力!$H$12)&lt;13),"◎","")</f>
        <v/>
      </c>
      <c r="G16" s="53" t="str">
        <f>IF(AND($B15=基本情報入力!$H$10,HOUR(基本情報入力!$H$12)&lt;24),"◎","")</f>
        <v/>
      </c>
      <c r="H16" s="54" t="str">
        <f>IF(B15&lt;基本情報入力!$N$6,"",IF(B15=基本情報入力!$L$16,基本情報入力!$L$20,""))</f>
        <v/>
      </c>
    </row>
    <row r="17" spans="1:8">
      <c r="A17" s="49"/>
      <c r="B17" s="55"/>
      <c r="C17" s="51" t="str">
        <f>IF(B15=基本情報入力!$H$10,HLOOKUP(Sheet4!$G$3&amp;1,Sheet4!$D$16:$K$21,4,FALSE),"")</f>
        <v/>
      </c>
      <c r="D17" s="46" t="str">
        <f>IF(B15=基本情報入力!$H$10,HLOOKUP(Sheet4!$G$3&amp;2,Sheet4!$D$16:$K$21,4,FALSE),"")</f>
        <v/>
      </c>
      <c r="E17" s="53"/>
      <c r="F17" s="53"/>
      <c r="G17" s="53"/>
      <c r="H17" s="56"/>
    </row>
    <row r="18" spans="1:8">
      <c r="A18" s="49"/>
      <c r="B18" s="57"/>
      <c r="C18" s="58" t="str">
        <f>IF(B15=基本情報入力!$H$10,HLOOKUP(Sheet4!$G$3&amp;1,Sheet4!$D$16:$K$21,5,FALSE),"")</f>
        <v/>
      </c>
      <c r="D18" s="63" t="str">
        <f>IF(B15=基本情報入力!$H$10,HLOOKUP(Sheet4!$G$3&amp;2,Sheet4!$D$16:$K$21,5,FALSE),"")</f>
        <v/>
      </c>
      <c r="E18" s="53"/>
      <c r="F18" s="53"/>
      <c r="G18" s="53"/>
      <c r="H18" s="60" t="str">
        <f>IF(B15&lt;基本情報入力!$N$6,"",IF(B15=基本情報入力!$L$16,"📞"&amp;基本情報入力!$L$24,""))</f>
        <v/>
      </c>
    </row>
    <row r="19" spans="1:8">
      <c r="A19" s="43">
        <f>IFERROR(IF(B19="","",A15+1),"")</f>
        <v>4</v>
      </c>
      <c r="B19" s="44">
        <f>IFERROR(IF(B15+1=基本情報入力!$H$10+2,"",IF(B15="","",B15+1)),"")</f>
        <v>43921</v>
      </c>
      <c r="C19" s="61" t="str">
        <f>IF(B15=基本情報入力!$H$10,HLOOKUP(Sheet4!$G$3&amp;1,Sheet4!$D$16:$K$21,6,FALSE),IF(B19=基本情報入力!$H$10,HLOOKUP(Sheet4!$G$3&amp;1,Sheet4!$D$16:$K$21,2,FALSE),""))</f>
        <v/>
      </c>
      <c r="D19" s="62" t="str">
        <f>IF(B15=基本情報入力!$H$10,HLOOKUP(Sheet4!$G$3&amp;2,Sheet4!$D$16:$K$21,6,FALSE),IF(B19=基本情報入力!$H$10,HLOOKUP(Sheet4!$G$3&amp;2,Sheet4!$D$16:$K$21,2,FALSE),""))</f>
        <v/>
      </c>
      <c r="E19" s="47" t="str">
        <f>IF($D19="","","◎")</f>
        <v/>
      </c>
      <c r="F19" s="47"/>
      <c r="G19" s="47"/>
      <c r="H19" s="48" t="str">
        <f>IF(B19&lt;基本情報入力!$N$6,H15,IF(AND(基本情報入力!$L$18&lt;&gt;"",B19&lt;基本情報入力!$N$16),基本情報入力!$L$18,IF(OR(H15="",H15="機中泊"),"",IF(Sheet4!$F$3="Y","機中泊",""))))</f>
        <v>カジャネ・ムア</v>
      </c>
    </row>
    <row r="20" spans="1:8">
      <c r="A20" s="49"/>
      <c r="B20" s="50">
        <f>B19</f>
        <v>43921</v>
      </c>
      <c r="C20" s="51" t="str">
        <f>IF(B19=基本情報入力!$H$10,HLOOKUP(Sheet4!$G$3&amp;1,Sheet4!$D$16:$K$21,3,FALSE),"")</f>
        <v/>
      </c>
      <c r="D20" s="46" t="str">
        <f>IF(B19=基本情報入力!$H$10,HLOOKUP(Sheet4!$G$3&amp;2,Sheet4!$D$16:$K$21,3,FALSE),"")</f>
        <v/>
      </c>
      <c r="E20" s="53" t="str">
        <f>IF(AND($B19=基本情報入力!$H$10,HOUR(基本情報入力!$H$12)&lt;9),"◎",IF(AND($B19=基本情報入力!$H$20+1,HOUR(基本情報入力!$H$22)&gt;21),"◎",""))</f>
        <v/>
      </c>
      <c r="F20" s="53" t="str">
        <f>IF(AND($B19=基本情報入力!$H$10,HOUR(基本情報入力!$H$12)&lt;13),"◎","")</f>
        <v/>
      </c>
      <c r="G20" s="53" t="str">
        <f>IF(AND($B19=基本情報入力!$H$10,HOUR(基本情報入力!$H$12)&lt;24),"◎","")</f>
        <v/>
      </c>
      <c r="H20" s="54" t="str">
        <f>IF(B19&lt;基本情報入力!$N$6,"",IF(B19=基本情報入力!$L$16,基本情報入力!$L$20,""))</f>
        <v/>
      </c>
    </row>
    <row r="21" spans="1:8">
      <c r="A21" s="49"/>
      <c r="B21" s="55"/>
      <c r="C21" s="51" t="str">
        <f>IF(B19=基本情報入力!$H$10,HLOOKUP(Sheet4!$G$3&amp;1,Sheet4!$D$16:$K$21,4,FALSE),"")</f>
        <v/>
      </c>
      <c r="D21" s="46" t="str">
        <f>IF(B19=基本情報入力!$H$10,HLOOKUP(Sheet4!$G$3&amp;2,Sheet4!$D$16:$K$21,4,FALSE),"")</f>
        <v/>
      </c>
      <c r="E21" s="53"/>
      <c r="F21" s="53"/>
      <c r="G21" s="53" t="str">
        <f>IF(D21="","","◎")</f>
        <v/>
      </c>
      <c r="H21" s="56"/>
    </row>
    <row r="22" spans="1:8">
      <c r="A22" s="64"/>
      <c r="B22" s="65"/>
      <c r="C22" s="58" t="str">
        <f>IF(B19=基本情報入力!$H$10,HLOOKUP(Sheet4!$G$3&amp;1,Sheet4!$D$16:$K$21,5,FALSE),"")</f>
        <v/>
      </c>
      <c r="D22" s="63" t="str">
        <f>IF(B19=基本情報入力!$H$10,HLOOKUP(Sheet4!$G$3&amp;2,Sheet4!$D$16:$K$21,5,FALSE),"")</f>
        <v/>
      </c>
      <c r="E22" s="66"/>
      <c r="F22" s="66"/>
      <c r="G22" s="66"/>
      <c r="H22" s="60" t="str">
        <f>IF(B19&lt;基本情報入力!$N$6,"",IF(B19=基本情報入力!$L$16,"📞"&amp;基本情報入力!$L$24,""))</f>
        <v/>
      </c>
    </row>
    <row r="23" spans="1:8">
      <c r="A23" s="43">
        <f>IFERROR(IF(B23="","",A19+1),"")</f>
        <v>5</v>
      </c>
      <c r="B23" s="44">
        <f>IFERROR(IF(B19+1=基本情報入力!$H$10+2,"",IF(B19="","",B19+1)),"")</f>
        <v>43922</v>
      </c>
      <c r="C23" s="61" t="str">
        <f>IF(B19=基本情報入力!$H$10,HLOOKUP(Sheet4!$G$3&amp;1,Sheet4!$D$16:$K$21,6,FALSE),IF(B23=基本情報入力!$H$10,HLOOKUP(Sheet4!$G$3&amp;1,Sheet4!$D$16:$K$21,2,FALSE),""))</f>
        <v/>
      </c>
      <c r="D23" s="62" t="str">
        <f>IF(B19=基本情報入力!$H$10,HLOOKUP(Sheet4!$G$3&amp;2,Sheet4!$D$16:$K$21,6,FALSE),IF(B23=基本情報入力!$H$10,HLOOKUP(Sheet4!$G$3&amp;2,Sheet4!$D$16:$K$21,2,FALSE),""))</f>
        <v/>
      </c>
      <c r="E23" s="47" t="str">
        <f>IF($D23="","","◎")</f>
        <v/>
      </c>
      <c r="F23" s="47"/>
      <c r="G23" s="47"/>
      <c r="H23" s="48" t="str">
        <f>IF(B23&lt;基本情報入力!$N$6,H19,IF(AND(基本情報入力!$L$18&lt;&gt;"",B23&lt;基本情報入力!$N$16),基本情報入力!$L$18,IF(OR(H19="",H19="機中泊"),"",IF(Sheet4!$F$3="Y","機中泊",""))))</f>
        <v>ロイヤルピタマハ</v>
      </c>
    </row>
    <row r="24" spans="1:8">
      <c r="A24" s="49"/>
      <c r="B24" s="50">
        <f>B23</f>
        <v>43922</v>
      </c>
      <c r="C24" s="51" t="str">
        <f>IF(B23=基本情報入力!$H$10,HLOOKUP(Sheet4!$G$3&amp;1,Sheet4!$D$16:$K$21,3,FALSE),"")</f>
        <v/>
      </c>
      <c r="D24" s="46" t="str">
        <f>IF(B23=基本情報入力!$H$10,HLOOKUP(Sheet4!$G$3&amp;2,Sheet4!$D$16:$K$21,3,FALSE),"")</f>
        <v/>
      </c>
      <c r="E24" s="53" t="str">
        <f>IF(AND($B23=基本情報入力!$H$10,HOUR(基本情報入力!$H$12)&lt;9),"◎",IF(AND($B23=基本情報入力!$H$20+1,HOUR(基本情報入力!$H$22)&gt;21),"◎",""))</f>
        <v/>
      </c>
      <c r="F24" s="53" t="str">
        <f>IF(AND($B23=基本情報入力!$H$10,HOUR(基本情報入力!$H$12)&lt;13),"◎","")</f>
        <v/>
      </c>
      <c r="G24" s="53" t="str">
        <f>IF(AND($B23=基本情報入力!$H$10,HOUR(基本情報入力!$H$12)&lt;24),"◎","")</f>
        <v/>
      </c>
      <c r="H24" s="54" t="str">
        <f>IF(B23&lt;基本情報入力!$N$6,"",IF(B23=基本情報入力!$L$16,基本情報入力!$L$20,""))</f>
        <v>Kedewatan, Ubud, Gianyar, Bali 80571 インドネシア</v>
      </c>
    </row>
    <row r="25" spans="1:8">
      <c r="A25" s="49"/>
      <c r="B25" s="55"/>
      <c r="C25" s="51" t="str">
        <f>IF(B23=基本情報入力!$H$10,HLOOKUP(Sheet4!$G$3&amp;1,Sheet4!$D$16:$K$21,4,FALSE),"")</f>
        <v/>
      </c>
      <c r="D25" s="46" t="str">
        <f>IF(B23=基本情報入力!$H$10,HLOOKUP(Sheet4!$G$3&amp;2,Sheet4!$D$16:$K$21,4,FALSE),"")</f>
        <v/>
      </c>
      <c r="E25" s="53"/>
      <c r="F25" s="53"/>
      <c r="G25" s="53" t="str">
        <f>IF(D25="","","◎")</f>
        <v/>
      </c>
      <c r="H25" s="56"/>
    </row>
    <row r="26" spans="1:8">
      <c r="A26" s="64"/>
      <c r="B26" s="57"/>
      <c r="C26" s="58" t="str">
        <f>IF(B23=基本情報入力!$H$10,HLOOKUP(Sheet4!$G$3&amp;1,Sheet4!$D$16:$K$21,5,FALSE),"")</f>
        <v/>
      </c>
      <c r="D26" s="63" t="str">
        <f>IF(B23=基本情報入力!$H$10,HLOOKUP(Sheet4!$G$3&amp;2,Sheet4!$D$16:$K$21,5,FALSE),"")</f>
        <v/>
      </c>
      <c r="E26" s="53"/>
      <c r="F26" s="53"/>
      <c r="G26" s="53"/>
      <c r="H26" s="60" t="str">
        <f>IF(B23&lt;基本情報入力!$N$6,"",IF(B23=基本情報入力!$L$16,"📞"&amp;基本情報入力!$L$24,""))</f>
        <v>📞62 361 980022</v>
      </c>
    </row>
    <row r="27" spans="1:8">
      <c r="A27" s="43">
        <f>IFERROR(IF(B27="","",A23+1),"")</f>
        <v>6</v>
      </c>
      <c r="B27" s="44">
        <f>IFERROR(IF(B23+1=基本情報入力!$H$10+2,"",IF(B23="","",B23+1)),"")</f>
        <v>43923</v>
      </c>
      <c r="C27" s="61" t="str">
        <f>IF(B23=基本情報入力!$H$10,HLOOKUP(Sheet4!$G$3&amp;1,Sheet4!$D$16:$K$21,6,FALSE),IF(B27=基本情報入力!$H$10,HLOOKUP(Sheet4!$G$3&amp;1,Sheet4!$D$16:$K$21,2,FALSE),""))</f>
        <v/>
      </c>
      <c r="D27" s="62" t="str">
        <f>IF(B23=基本情報入力!$H$10,HLOOKUP(Sheet4!$G$3&amp;2,Sheet4!$D$16:$K$21,6,FALSE),IF(B27=基本情報入力!$H$10,HLOOKUP(Sheet4!$G$3&amp;2,Sheet4!$D$16:$K$21,2,FALSE),""))</f>
        <v/>
      </c>
      <c r="E27" s="47" t="str">
        <f>IF($D27="","","◎")</f>
        <v/>
      </c>
      <c r="F27" s="47"/>
      <c r="G27" s="47"/>
      <c r="H27" s="48" t="str">
        <f>IF(B27&lt;基本情報入力!$N$6,H23,IF(AND(基本情報入力!$L$18&lt;&gt;"",B27&lt;基本情報入力!$N$16),基本情報入力!$L$18,IF(OR(H23="",H23="機中泊"),"",IF(Sheet4!$F$3="Y","機中泊",""))))</f>
        <v>ロイヤルピタマハ</v>
      </c>
    </row>
    <row r="28" spans="1:8">
      <c r="A28" s="49"/>
      <c r="B28" s="50">
        <f>B27</f>
        <v>43923</v>
      </c>
      <c r="C28" s="51" t="str">
        <f>IF(B27=基本情報入力!$H$10,HLOOKUP(Sheet4!$G$3&amp;1,Sheet4!$D$16:$K$21,3,FALSE),"")</f>
        <v/>
      </c>
      <c r="D28" s="46" t="str">
        <f>IF(B27=基本情報入力!$H$10,HLOOKUP(Sheet4!$G$3&amp;2,Sheet4!$D$16:$K$21,3,FALSE),"")</f>
        <v/>
      </c>
      <c r="E28" s="53" t="str">
        <f>IF(AND($B27=基本情報入力!$H$10,HOUR(基本情報入力!$H$12)&lt;9),"◎",IF(AND($B27=基本情報入力!$H$20+1,HOUR(基本情報入力!$H$22)&gt;21),"◎",""))</f>
        <v/>
      </c>
      <c r="F28" s="53" t="str">
        <f>IF(AND($B27=基本情報入力!$H$10,HOUR(基本情報入力!$H$12)&lt;13),"◎","")</f>
        <v/>
      </c>
      <c r="G28" s="53" t="str">
        <f>IF(AND($B27=基本情報入力!$H$10,HOUR(基本情報入力!$H$12)&lt;24),"◎","")</f>
        <v/>
      </c>
      <c r="H28" s="54" t="str">
        <f>IF(B27&lt;基本情報入力!$N$6,"",IF(B27=基本情報入力!$L$16,基本情報入力!$L$20,""))</f>
        <v/>
      </c>
    </row>
    <row r="29" spans="1:8">
      <c r="A29" s="49"/>
      <c r="B29" s="55"/>
      <c r="C29" s="51" t="str">
        <f>IF(B27=基本情報入力!$H$10,HLOOKUP(Sheet4!$G$3&amp;1,Sheet4!$D$16:$K$21,4,FALSE),"")</f>
        <v/>
      </c>
      <c r="D29" s="46" t="str">
        <f>IF(B27=基本情報入力!$H$10,HLOOKUP(Sheet4!$G$3&amp;2,Sheet4!$D$16:$K$21,4,FALSE),"")</f>
        <v/>
      </c>
      <c r="E29" s="53"/>
      <c r="F29" s="53"/>
      <c r="G29" s="53" t="str">
        <f>IF(D29="","","◎")</f>
        <v/>
      </c>
      <c r="H29" s="56"/>
    </row>
    <row r="30" spans="1:8">
      <c r="A30" s="64"/>
      <c r="B30" s="57"/>
      <c r="C30" s="58" t="str">
        <f>IF(B27=基本情報入力!$H$10,HLOOKUP(Sheet4!$G$3&amp;1,Sheet4!$D$16:$K$21,5,FALSE),"")</f>
        <v/>
      </c>
      <c r="D30" s="63" t="str">
        <f>IF(B27=基本情報入力!$H$10,HLOOKUP(Sheet4!$G$3&amp;2,Sheet4!$D$16:$K$21,5,FALSE),"")</f>
        <v/>
      </c>
      <c r="E30" s="53"/>
      <c r="F30" s="53"/>
      <c r="G30" s="53"/>
      <c r="H30" s="60" t="str">
        <f>IF(B27&lt;基本情報入力!$N$6,"",IF(B27=基本情報入力!$L$16,"📞"&amp;基本情報入力!$L$24,""))</f>
        <v/>
      </c>
    </row>
    <row r="31" spans="1:8">
      <c r="A31" s="43">
        <f>IFERROR(IF(B31="","",A27+1),"")</f>
        <v>7</v>
      </c>
      <c r="B31" s="44">
        <f>IFERROR(IF(B27+1=基本情報入力!$H$10+2,"",IF(B27="","",B27+1)),"")</f>
        <v>43924</v>
      </c>
      <c r="C31" s="61" t="str">
        <f>IF(B27=基本情報入力!$H$10,HLOOKUP(Sheet4!$G$3&amp;1,Sheet4!$D$16:$K$21,6,FALSE),IF(B31=基本情報入力!$H$10,HLOOKUP(Sheet4!$G$3&amp;1,Sheet4!$D$16:$K$21,2,FALSE),""))</f>
        <v/>
      </c>
      <c r="D31" s="62" t="str">
        <f>IF(B27=基本情報入力!$H$10,HLOOKUP(Sheet4!$G$3&amp;2,Sheet4!$D$16:$K$21,6,FALSE),IF(B31=基本情報入力!$H$10,HLOOKUP(Sheet4!$G$3&amp;2,Sheet4!$D$16:$K$21,2,FALSE),""))</f>
        <v/>
      </c>
      <c r="E31" s="47" t="str">
        <f>IF($D31="","","◎")</f>
        <v/>
      </c>
      <c r="F31" s="47"/>
      <c r="G31" s="47"/>
      <c r="H31" s="48" t="str">
        <f>IF(B31&lt;基本情報入力!$N$6,H27,IF(AND(基本情報入力!$L$18&lt;&gt;"",B31&lt;基本情報入力!$N$16),基本情報入力!$L$18,IF(OR(H27="",H27="機中泊"),"",IF(Sheet4!$F$3="Y","機中泊",""))))</f>
        <v>機中泊</v>
      </c>
    </row>
    <row r="32" spans="1:8">
      <c r="A32" s="49"/>
      <c r="B32" s="50">
        <f>B31</f>
        <v>43924</v>
      </c>
      <c r="C32" s="51">
        <f>IF(B31=基本情報入力!$H$10,HLOOKUP(Sheet4!$G$3&amp;1,Sheet4!$D$16:$K$21,3,FALSE),"")</f>
        <v>0.861111111111111</v>
      </c>
      <c r="D32" s="46" t="str">
        <f>IF(B31=基本情報入力!$H$10,HLOOKUP(Sheet4!$G$3&amp;2,Sheet4!$D$16:$K$21,3,FALSE),"")</f>
        <v>ガルーダ・インドネシア航空（インドネシア） デンパサール 発 (GA413)</v>
      </c>
      <c r="E32" s="53" t="str">
        <f>IF(AND($B31=基本情報入力!$H$10,HOUR(基本情報入力!$H$12)&lt;9),"◎",IF(AND($B31=基本情報入力!$H$20+1,HOUR(基本情報入力!$H$22)&gt;21),"◎",""))</f>
        <v/>
      </c>
      <c r="F32" s="53" t="str">
        <f>IF(AND($B31=基本情報入力!$H$10,HOUR(基本情報入力!$H$12)&lt;13),"◎","")</f>
        <v/>
      </c>
      <c r="G32" s="53" t="str">
        <f>IF(AND($B31=基本情報入力!$H$10,HOUR(基本情報入力!$H$12)&lt;24),"◎","")</f>
        <v>◎</v>
      </c>
      <c r="H32" s="54" t="str">
        <f>IF(B31&lt;基本情報入力!$N$6,"",IF(B31=基本情報入力!$L$16,基本情報入力!$L$20,""))</f>
        <v/>
      </c>
    </row>
    <row r="33" spans="1:8">
      <c r="A33" s="49"/>
      <c r="B33" s="55"/>
      <c r="C33" s="51">
        <f>IF(B31=基本情報入力!$H$10,HLOOKUP(Sheet4!$G$3&amp;1,Sheet4!$D$16:$K$21,4,FALSE),"")</f>
        <v>0.909722222222222</v>
      </c>
      <c r="D33" s="46" t="str">
        <f>IF(B31=基本情報入力!$H$10,HLOOKUP(Sheet4!$G$3&amp;2,Sheet4!$D$16:$K$21,4,FALSE),"")</f>
        <v>スカルノハッタ 着</v>
      </c>
      <c r="E33" s="53"/>
      <c r="F33" s="53"/>
      <c r="G33" s="53"/>
      <c r="H33" s="56"/>
    </row>
    <row r="34" spans="1:8">
      <c r="A34" s="64"/>
      <c r="B34" s="65"/>
      <c r="C34" s="58">
        <f>IF(B31=基本情報入力!$H$10,HLOOKUP(Sheet4!$G$3&amp;1,Sheet4!$D$16:$K$21,5,FALSE),"")</f>
        <v>0.986111111111111</v>
      </c>
      <c r="D34" s="63" t="str">
        <f>IF(B31=基本情報入力!$H$10,HLOOKUP(Sheet4!$G$3&amp;2,Sheet4!$D$16:$K$21,5,FALSE),"")</f>
        <v>ガルーダ・インドネシア航空（インドネシア） スカルノハッタ 発 (GA874)</v>
      </c>
      <c r="E34" s="66"/>
      <c r="F34" s="66"/>
      <c r="G34" s="66"/>
      <c r="H34" s="60" t="str">
        <f>IF(B31&lt;基本情報入力!$N$6,"",IF(B31=基本情報入力!$L$16,"📞"&amp;基本情報入力!$L$24,""))</f>
        <v/>
      </c>
    </row>
    <row r="35" spans="1:8">
      <c r="A35" s="43">
        <f>IFERROR(IF(B35="","",A31+1),"")</f>
        <v>8</v>
      </c>
      <c r="B35" s="44">
        <f>IFERROR(IF(B31+1=基本情報入力!$H$10+2,"",IF(B31="","",B31+1)),"")</f>
        <v>43925</v>
      </c>
      <c r="C35" s="61">
        <f>IF(B31=基本情報入力!$H$10,HLOOKUP(Sheet4!$G$3&amp;1,Sheet4!$D$16:$K$21,6,FALSE),IF(B35=基本情報入力!$H$10,HLOOKUP(Sheet4!$G$3&amp;1,Sheet4!$D$16:$K$21,2,FALSE),""))</f>
        <v>0.368055555555556</v>
      </c>
      <c r="D35" s="62" t="str">
        <f>IF(B31=基本情報入力!$H$10,HLOOKUP(Sheet4!$G$3&amp;2,Sheet4!$D$16:$K$21,6,FALSE),IF(B35=基本情報入力!$H$10,HLOOKUP(Sheet4!$G$3&amp;2,Sheet4!$D$16:$K$21,2,FALSE),""))</f>
        <v>デンパサール 着</v>
      </c>
      <c r="E35" s="47"/>
      <c r="F35" s="47"/>
      <c r="G35" s="47"/>
      <c r="H35" s="48" t="str">
        <f>IF(B35&lt;基本情報入力!$N$6,H31,IF(AND(基本情報入力!$L$18&lt;&gt;"",B35&lt;基本情報入力!$N$16),基本情報入力!$L$18,IF(OR(H31="",H31="機中泊"),"",IF(Sheet4!$F$3="Y","機中泊",""))))</f>
        <v/>
      </c>
    </row>
    <row r="36" spans="1:8">
      <c r="A36" s="49"/>
      <c r="B36" s="50">
        <f>B35</f>
        <v>43925</v>
      </c>
      <c r="C36" s="51" t="str">
        <f>IF(B35=基本情報入力!$H$10,HLOOKUP(Sheet4!$G$3&amp;1,Sheet4!$D$16:$K$21,3,FALSE),"")</f>
        <v/>
      </c>
      <c r="D36" s="46" t="str">
        <f>IF(B35=基本情報入力!$H$10,HLOOKUP(Sheet4!$G$3&amp;2,Sheet4!$D$16:$K$21,3,FALSE),"")</f>
        <v/>
      </c>
      <c r="E36" s="53" t="str">
        <f>IF(AND($B35=基本情報入力!$H$10,HOUR(基本情報入力!$H$12)&lt;9),"◎",IF(AND($B35=基本情報入力!$H$20+1,HOUR(基本情報入力!$H$22)&gt;21),"◎",""))</f>
        <v>◎</v>
      </c>
      <c r="F36" s="53" t="str">
        <f>IF(AND($B35=基本情報入力!$H$10,HOUR(基本情報入力!$H$12)&lt;13),"◎","")</f>
        <v/>
      </c>
      <c r="G36" s="53" t="str">
        <f>IF(AND($B35=基本情報入力!$H$10,HOUR(基本情報入力!$H$12)&lt;24),"◎","")</f>
        <v/>
      </c>
      <c r="H36" s="54" t="str">
        <f>IF(B35&lt;基本情報入力!$N$6,"",IF(B35=基本情報入力!$L$16,基本情報入力!$L$20,""))</f>
        <v/>
      </c>
    </row>
    <row r="37" spans="1:8">
      <c r="A37" s="49"/>
      <c r="B37" s="55"/>
      <c r="C37" s="51" t="str">
        <f>IF(B35=基本情報入力!$H$10,HLOOKUP(Sheet4!$G$3&amp;1,Sheet4!$D$16:$K$21,4,FALSE),"")</f>
        <v/>
      </c>
      <c r="D37" s="46" t="str">
        <f>IF(B35=基本情報入力!$H$10,HLOOKUP(Sheet4!$G$3&amp;2,Sheet4!$D$16:$K$21,4,FALSE),"")</f>
        <v/>
      </c>
      <c r="E37" s="53"/>
      <c r="F37" s="53"/>
      <c r="G37" s="53" t="str">
        <f>IF(D37="","","◎")</f>
        <v/>
      </c>
      <c r="H37" s="56"/>
    </row>
    <row r="38" spans="1:8">
      <c r="A38" s="64"/>
      <c r="B38" s="57" t="str">
        <f>IF(B34+1=基本情報入力!$H$20+1,"",IF(B34="","",B34+1))</f>
        <v/>
      </c>
      <c r="C38" s="58" t="str">
        <f>IF(B35=基本情報入力!$H$10,HLOOKUP(Sheet4!$G$3&amp;1,Sheet4!$D$16:$K$21,5,FALSE),"")</f>
        <v/>
      </c>
      <c r="D38" s="63" t="str">
        <f>IF(B35=基本情報入力!$H$10,HLOOKUP(Sheet4!$G$3&amp;2,Sheet4!$D$16:$K$21,5,FALSE),"")</f>
        <v/>
      </c>
      <c r="E38" s="53"/>
      <c r="F38" s="53"/>
      <c r="G38" s="53"/>
      <c r="H38" s="60" t="str">
        <f>IF(B35&lt;基本情報入力!$N$6,"",IF(B35=基本情報入力!$L$16,"📞"&amp;基本情報入力!$L$24,""))</f>
        <v/>
      </c>
    </row>
    <row r="39" spans="1:8">
      <c r="A39" s="43" t="str">
        <f>IFERROR(IF(B39="","",A35+1),"")</f>
        <v/>
      </c>
      <c r="B39" s="44" t="str">
        <f>IFERROR(IF(B35+1=基本情報入力!$H$10+2,"",IF(B35="","",B35+1)),"")</f>
        <v/>
      </c>
      <c r="C39" s="61" t="str">
        <f>IF(B35=基本情報入力!$H$10,HLOOKUP(Sheet4!$G$3&amp;1,Sheet4!$D$16:$K$21,6,FALSE),IF(B39=基本情報入力!$H$10,HLOOKUP(Sheet4!$G$3&amp;1,Sheet4!$D$16:$K$21,2,FALSE),""))</f>
        <v/>
      </c>
      <c r="D39" s="62" t="str">
        <f>IF(B35=基本情報入力!$H$10,HLOOKUP(Sheet4!$G$3&amp;2,Sheet4!$D$16:$K$21,6,FALSE),IF(B39=基本情報入力!$H$10,HLOOKUP(Sheet4!$G$3&amp;2,Sheet4!$D$16:$K$21,2,FALSE),""))</f>
        <v/>
      </c>
      <c r="E39" s="47" t="str">
        <f>IF($D39="","","◎")</f>
        <v/>
      </c>
      <c r="F39" s="47"/>
      <c r="G39" s="47"/>
      <c r="H39" s="48" t="str">
        <f>IF(B39&lt;基本情報入力!$N$6,H35,IF(AND(基本情報入力!$L$18&lt;&gt;"",B39&lt;基本情報入力!$N$16),基本情報入力!$L$18,IF(OR(H35="",H35="機中泊"),"",IF(Sheet4!$F$3="Y","機中泊",""))))</f>
        <v/>
      </c>
    </row>
    <row r="40" spans="1:8">
      <c r="A40" s="49"/>
      <c r="B40" s="50" t="str">
        <f>B39</f>
        <v/>
      </c>
      <c r="C40" s="51" t="str">
        <f>IF(B39=基本情報入力!$H$10,HLOOKUP(Sheet4!$G$3&amp;1,Sheet4!$D$16:$K$21,3,FALSE),"")</f>
        <v/>
      </c>
      <c r="D40" s="46" t="str">
        <f>IF(B39=基本情報入力!$H$10,HLOOKUP(Sheet4!$G$3&amp;2,Sheet4!$D$16:$K$21,3,FALSE),"")</f>
        <v/>
      </c>
      <c r="E40" s="53" t="str">
        <f>IF(AND($B39=基本情報入力!$H$10,HOUR(基本情報入力!$H$12)&lt;9),"◎",IF(AND($B39=基本情報入力!$H$20+1,HOUR(基本情報入力!$H$22)&gt;21),"◎",""))</f>
        <v/>
      </c>
      <c r="F40" s="53" t="str">
        <f>IF(AND($B39=基本情報入力!$H$10,HOUR(基本情報入力!$H$12)&lt;13),"◎","")</f>
        <v/>
      </c>
      <c r="G40" s="53" t="str">
        <f>IF(AND($B39=基本情報入力!$H$10,HOUR(基本情報入力!$H$12)&lt;24),"◎","")</f>
        <v/>
      </c>
      <c r="H40" s="54" t="str">
        <f>IF(B39&lt;基本情報入力!$N$6,"",IF(B39=基本情報入力!$L$16,基本情報入力!$L$20,""))</f>
        <v/>
      </c>
    </row>
    <row r="41" spans="1:8">
      <c r="A41" s="49"/>
      <c r="B41" s="55"/>
      <c r="C41" s="51" t="str">
        <f>IF(B39=基本情報入力!$H$10,HLOOKUP(Sheet4!$G$3&amp;1,Sheet4!$D$16:$K$21,4,FALSE),"")</f>
        <v/>
      </c>
      <c r="D41" s="46" t="str">
        <f>IF(B39=基本情報入力!$H$10,HLOOKUP(Sheet4!$G$3&amp;2,Sheet4!$D$16:$K$21,4,FALSE),"")</f>
        <v/>
      </c>
      <c r="E41" s="53"/>
      <c r="F41" s="53"/>
      <c r="G41" s="53" t="str">
        <f>IF(D41="","","◎")</f>
        <v/>
      </c>
      <c r="H41" s="56"/>
    </row>
    <row r="42" spans="1:8">
      <c r="A42" s="64"/>
      <c r="B42" s="57"/>
      <c r="C42" s="58" t="str">
        <f>IF(B39=基本情報入力!$H$10,HLOOKUP(Sheet4!$G$3&amp;1,Sheet4!$D$16:$K$21,5,FALSE),"")</f>
        <v/>
      </c>
      <c r="D42" s="63" t="str">
        <f>IF(B39=基本情報入力!$H$10,HLOOKUP(Sheet4!$G$3&amp;2,Sheet4!$D$16:$K$21,5,FALSE),"")</f>
        <v/>
      </c>
      <c r="E42" s="53"/>
      <c r="F42" s="53"/>
      <c r="G42" s="53"/>
      <c r="H42" s="60" t="str">
        <f>IF(B39&lt;基本情報入力!$N$6,"",IF(B39=基本情報入力!$L$16,"📞"&amp;基本情報入力!$L$24,""))</f>
        <v/>
      </c>
    </row>
    <row r="43" spans="1:8">
      <c r="A43" s="43" t="str">
        <f>IFERROR(IF(B43="","",A39+1),"")</f>
        <v/>
      </c>
      <c r="B43" s="44" t="str">
        <f>IFERROR(IF(B39+1=基本情報入力!$H$10+2,"",IF(B39="","",B39+1)),"")</f>
        <v/>
      </c>
      <c r="C43" s="61" t="str">
        <f>IF(B39=基本情報入力!$H$10,HLOOKUP(Sheet4!$G$3&amp;1,Sheet4!$D$16:$K$21,6,FALSE),IF(B43=基本情報入力!$H$10,HLOOKUP(Sheet4!$G$3&amp;1,Sheet4!$D$16:$K$21,2,FALSE),""))</f>
        <v/>
      </c>
      <c r="D43" s="62" t="str">
        <f>IF(B39=基本情報入力!$H$10,HLOOKUP(Sheet4!$G$3&amp;2,Sheet4!$D$16:$K$21,6,FALSE),IF(B43=基本情報入力!$H$10,HLOOKUP(Sheet4!$G$3&amp;2,Sheet4!$D$16:$K$21,2,FALSE),""))</f>
        <v/>
      </c>
      <c r="E43" s="47" t="str">
        <f>IF($D43="","","◎")</f>
        <v/>
      </c>
      <c r="F43" s="47"/>
      <c r="G43" s="47"/>
      <c r="H43" s="48" t="str">
        <f>IF(B43&lt;基本情報入力!$N$6,H39,IF(AND(基本情報入力!$L$18&lt;&gt;"",B43&lt;基本情報入力!$N$16),基本情報入力!$L$18,IF(OR(H39="",H39="機中泊"),"",IF(Sheet4!$F$3="Y","機中泊",""))))</f>
        <v/>
      </c>
    </row>
    <row r="44" spans="1:8">
      <c r="A44" s="49"/>
      <c r="B44" s="50" t="str">
        <f>B43</f>
        <v/>
      </c>
      <c r="C44" s="51" t="str">
        <f>IF(B43=基本情報入力!$H$10,HLOOKUP(Sheet4!$G$3&amp;1,Sheet4!$D$16:$K$21,3,FALSE),"")</f>
        <v/>
      </c>
      <c r="D44" s="46" t="str">
        <f>IF(B43=基本情報入力!$H$10,HLOOKUP(Sheet4!$G$3&amp;2,Sheet4!$D$16:$K$21,3,FALSE),"")</f>
        <v/>
      </c>
      <c r="E44" s="53" t="str">
        <f>IF(AND($B43=基本情報入力!$H$10,HOUR(基本情報入力!$H$12)&lt;9),"◎",IF(AND($B43=基本情報入力!$H$20+1,HOUR(基本情報入力!$H$22)&gt;21),"◎",""))</f>
        <v/>
      </c>
      <c r="F44" s="53" t="str">
        <f>IF(AND($B43=基本情報入力!$H$10,HOUR(基本情報入力!$H$12)&lt;13),"◎","")</f>
        <v/>
      </c>
      <c r="G44" s="53" t="str">
        <f>IF(AND($B43=基本情報入力!$H$10,HOUR(基本情報入力!$H$12)&lt;24),"◎","")</f>
        <v/>
      </c>
      <c r="H44" s="54" t="str">
        <f>IF(B43&lt;基本情報入力!$N$6,"",IF(B43=基本情報入力!$L$16,基本情報入力!$L$20,""))</f>
        <v/>
      </c>
    </row>
    <row r="45" spans="1:8">
      <c r="A45" s="49"/>
      <c r="B45" s="55"/>
      <c r="C45" s="51" t="str">
        <f>IF(B43=基本情報入力!$H$10,HLOOKUP(Sheet4!$G$3&amp;1,Sheet4!$D$16:$K$21,4,FALSE),"")</f>
        <v/>
      </c>
      <c r="D45" s="46" t="str">
        <f>IF(B43=基本情報入力!$H$10,HLOOKUP(Sheet4!$G$3&amp;2,Sheet4!$D$16:$K$21,4,FALSE),"")</f>
        <v/>
      </c>
      <c r="E45" s="53"/>
      <c r="F45" s="53"/>
      <c r="G45" s="53" t="str">
        <f>IF(D45="","","◎")</f>
        <v/>
      </c>
      <c r="H45" s="56"/>
    </row>
    <row r="46" spans="1:8">
      <c r="A46" s="64"/>
      <c r="B46" s="65"/>
      <c r="C46" s="58" t="str">
        <f>IF(B43=基本情報入力!$H$10,HLOOKUP(Sheet4!$G$3&amp;1,Sheet4!$D$16:$K$21,5,FALSE),"")</f>
        <v/>
      </c>
      <c r="D46" s="63" t="str">
        <f>IF(B43=基本情報入力!$H$10,HLOOKUP(Sheet4!$G$3&amp;2,Sheet4!$D$16:$K$21,5,FALSE),"")</f>
        <v/>
      </c>
      <c r="E46" s="66"/>
      <c r="F46" s="66"/>
      <c r="G46" s="66"/>
      <c r="H46" s="60" t="str">
        <f>IF(B43&lt;基本情報入力!$N$6,"",IF(B43=基本情報入力!$L$16,"📞"&amp;基本情報入力!$L$24,""))</f>
        <v/>
      </c>
    </row>
    <row r="47" spans="1:1">
      <c r="A47" s="67"/>
    </row>
  </sheetData>
  <mergeCells count="28">
    <mergeCell ref="A1:H1"/>
    <mergeCell ref="D3:F3"/>
    <mergeCell ref="E5:G5"/>
    <mergeCell ref="A5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B5:B6"/>
    <mergeCell ref="C5:C6"/>
    <mergeCell ref="D5:D6"/>
    <mergeCell ref="H5:H6"/>
    <mergeCell ref="H8:H9"/>
    <mergeCell ref="H12:H13"/>
    <mergeCell ref="H16:H17"/>
    <mergeCell ref="H20:H21"/>
    <mergeCell ref="H24:H25"/>
    <mergeCell ref="H28:H29"/>
    <mergeCell ref="H32:H33"/>
    <mergeCell ref="H36:H37"/>
    <mergeCell ref="H40:H41"/>
    <mergeCell ref="H44:H45"/>
  </mergeCells>
  <conditionalFormatting sqref="D11">
    <cfRule type="expression" dxfId="0" priority="10">
      <formula>D11=""</formula>
    </cfRule>
  </conditionalFormatting>
  <conditionalFormatting sqref="D12:D14">
    <cfRule type="expression" dxfId="0" priority="11">
      <formula>D12=""</formula>
    </cfRule>
  </conditionalFormatting>
  <conditionalFormatting sqref="D15:D18">
    <cfRule type="expression" dxfId="0" priority="12">
      <formula>D15=""</formula>
    </cfRule>
  </conditionalFormatting>
  <conditionalFormatting sqref="D19:D22">
    <cfRule type="expression" dxfId="0" priority="13">
      <formula>D19=""</formula>
    </cfRule>
  </conditionalFormatting>
  <conditionalFormatting sqref="D23:D26">
    <cfRule type="expression" dxfId="0" priority="6">
      <formula>D23=""</formula>
    </cfRule>
  </conditionalFormatting>
  <conditionalFormatting sqref="D27:D30">
    <cfRule type="expression" dxfId="0" priority="5">
      <formula>D27=""</formula>
    </cfRule>
  </conditionalFormatting>
  <conditionalFormatting sqref="D31:D34">
    <cfRule type="expression" dxfId="0" priority="4">
      <formula>D31=""</formula>
    </cfRule>
  </conditionalFormatting>
  <conditionalFormatting sqref="D35:D38">
    <cfRule type="expression" dxfId="0" priority="3">
      <formula>D35=""</formula>
    </cfRule>
  </conditionalFormatting>
  <conditionalFormatting sqref="D39:D42">
    <cfRule type="expression" dxfId="0" priority="2">
      <formula>D39=""</formula>
    </cfRule>
  </conditionalFormatting>
  <conditionalFormatting sqref="D43:D46">
    <cfRule type="expression" dxfId="0" priority="1">
      <formula>D43=""</formula>
    </cfRule>
  </conditionalFormatting>
  <printOptions horizontalCentered="1"/>
  <pageMargins left="0.357638888888889" right="0.357638888888889" top="0.409027777777778" bottom="0.409027777777778" header="0.511805555555556" footer="0.511805555555556"/>
  <pageSetup paperSize="9" scale="82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 autoPageBreaks="0"/>
  </sheetPr>
  <dimension ref="A1:E68"/>
  <sheetViews>
    <sheetView showZeros="0" zoomScale="74" zoomScaleNormal="74" topLeftCell="A28" workbookViewId="0">
      <selection activeCell="D6" sqref="D6"/>
    </sheetView>
  </sheetViews>
  <sheetFormatPr defaultColWidth="9" defaultRowHeight="14.25" outlineLevelCol="4"/>
  <cols>
    <col min="1" max="1" width="7.625" customWidth="1"/>
    <col min="2" max="2" width="11.875" customWidth="1"/>
    <col min="3" max="3" width="8" customWidth="1"/>
    <col min="4" max="4" width="64.125" customWidth="1"/>
    <col min="5" max="5" width="31.75" style="2" customWidth="1"/>
  </cols>
  <sheetData>
    <row r="1" ht="49" customHeight="1" spans="1:5">
      <c r="A1" s="3" t="str">
        <f>基本情報入力!C4&amp;"旅行 行程表(自宅控え）"</f>
        <v>バリ島旅行 行程表(自宅控え）</v>
      </c>
      <c r="B1" s="4"/>
      <c r="C1" s="4"/>
      <c r="D1" s="4"/>
      <c r="E1" s="4"/>
    </row>
    <row r="3" ht="18.75" spans="1:3">
      <c r="A3" s="5">
        <f>'旅行行程表（自分用）'!D3</f>
        <v>43918</v>
      </c>
      <c r="B3" s="6" t="str">
        <f>'旅行行程表（自分用）'!G3</f>
        <v>～</v>
      </c>
      <c r="C3" s="7">
        <f>'旅行行程表（自分用）'!H3</f>
        <v>43925</v>
      </c>
    </row>
    <row r="5" ht="15" spans="1:5">
      <c r="A5" s="8" t="str">
        <f>'旅行行程表（自分用）'!A5</f>
        <v>日程</v>
      </c>
      <c r="B5" s="8" t="str">
        <f>'旅行行程表（自分用）'!B5</f>
        <v>日付</v>
      </c>
      <c r="C5" s="9" t="str">
        <f>'旅行行程表（自分用）'!C5</f>
        <v>時間</v>
      </c>
      <c r="D5" s="8" t="str">
        <f>'旅行行程表（自分用）'!D5</f>
        <v>スケジュール</v>
      </c>
      <c r="E5" s="8" t="str">
        <f>'旅行行程表（自分用）'!H5</f>
        <v>宿泊先</v>
      </c>
    </row>
    <row r="6" spans="1:5">
      <c r="A6" s="10">
        <f>'旅行行程表（自分用）'!A7</f>
        <v>1</v>
      </c>
      <c r="B6" s="11">
        <f>'旅行行程表（自分用）'!B7</f>
        <v>43918</v>
      </c>
      <c r="C6" s="12" t="str">
        <f>'旅行行程表（自分用）'!C7</f>
        <v/>
      </c>
      <c r="D6" s="13" t="str">
        <f>'旅行行程表（自分用）'!D7</f>
        <v/>
      </c>
      <c r="E6" s="14" t="str">
        <f>'旅行行程表（自分用）'!H7</f>
        <v>機中泊</v>
      </c>
    </row>
    <row r="7" spans="1:5">
      <c r="A7" s="15"/>
      <c r="B7" s="16"/>
      <c r="C7" s="17" t="str">
        <f>'旅行行程表（自分用）'!C8</f>
        <v/>
      </c>
      <c r="D7" s="18" t="str">
        <f>'旅行行程表（自分用）'!D8</f>
        <v/>
      </c>
      <c r="E7" s="19" t="str">
        <f>'旅行行程表（自分用）'!H8</f>
        <v/>
      </c>
    </row>
    <row r="8" spans="1:5">
      <c r="A8" s="15"/>
      <c r="B8" s="16"/>
      <c r="C8" s="17" t="str">
        <f>'旅行行程表（自分用）'!C9</f>
        <v/>
      </c>
      <c r="D8" s="18" t="str">
        <f>'旅行行程表（自分用）'!D9</f>
        <v>ガルーダ・インドネシア航空（インドネシア）</v>
      </c>
      <c r="E8" s="20"/>
    </row>
    <row r="9" ht="15" spans="1:5">
      <c r="A9" s="21"/>
      <c r="B9" s="22"/>
      <c r="C9" s="23">
        <f>'旅行行程表（自分用）'!C10</f>
        <v>0.916666666666667</v>
      </c>
      <c r="D9" s="24" t="str">
        <f>'旅行行程表（自分用）'!D10</f>
        <v>成田空港 発 (GA881)</v>
      </c>
      <c r="E9" s="25" t="str">
        <f>'旅行行程表（自分用）'!H10</f>
        <v/>
      </c>
    </row>
    <row r="10" ht="15" spans="1:3">
      <c r="A10" s="26"/>
      <c r="B10" s="27"/>
      <c r="C10" s="1"/>
    </row>
    <row r="11" outlineLevel="1" spans="1:5">
      <c r="A11" s="10">
        <f>'旅行行程表（自分用）'!A11</f>
        <v>2</v>
      </c>
      <c r="B11" s="11">
        <f>'旅行行程表（自分用）'!B11</f>
        <v>43919</v>
      </c>
      <c r="C11" s="12">
        <f>'旅行行程表（自分用）'!C11</f>
        <v>0.25</v>
      </c>
      <c r="D11" s="13" t="str">
        <f>'旅行行程表（自分用）'!D11</f>
        <v>クアラルンプール 着</v>
      </c>
      <c r="E11" s="14" t="str">
        <f>'旅行行程表（自分用）'!H11</f>
        <v>カジャネ・ムア</v>
      </c>
    </row>
    <row r="12" outlineLevel="1" spans="1:5">
      <c r="A12" s="15"/>
      <c r="B12" s="16">
        <f>'旅行行程表（自分用）'!B12</f>
        <v>43919</v>
      </c>
      <c r="C12" s="17">
        <f>'旅行行程表（自分用）'!C12</f>
        <v>0</v>
      </c>
      <c r="D12" s="18" t="str">
        <f>'旅行行程表（自分用）'!D12</f>
        <v>エアアジア(マレーシア)</v>
      </c>
      <c r="E12" s="19" t="str">
        <f>'旅行行程表（自分用）'!H12</f>
        <v>Jl. Monkey Forest No.20, Ubud, Kecamatan Ubud, Kabupaten Gianyar, Bali 80571 インドネシア</v>
      </c>
    </row>
    <row r="13" outlineLevel="1" spans="1:5">
      <c r="A13" s="15"/>
      <c r="B13" s="16">
        <f>'旅行行程表（自分用）'!B13</f>
        <v>0</v>
      </c>
      <c r="C13" s="17">
        <f>'旅行行程表（自分用）'!C13</f>
        <v>0.333333333333333</v>
      </c>
      <c r="D13" s="18" t="str">
        <f>'旅行行程表（自分用）'!D13</f>
        <v>クアラルンプール 発 (AK001)</v>
      </c>
      <c r="E13" s="20">
        <f>'旅行行程表（自分用）'!H13</f>
        <v>0</v>
      </c>
    </row>
    <row r="14" ht="15" outlineLevel="1" spans="1:5">
      <c r="A14" s="21"/>
      <c r="B14" s="22">
        <f>'旅行行程表（自分用）'!B14</f>
        <v>0</v>
      </c>
      <c r="C14" s="23">
        <f>'旅行行程表（自分用）'!C14</f>
        <v>0.416666666666667</v>
      </c>
      <c r="D14" s="24" t="str">
        <f>'旅行行程表（自分用）'!D14</f>
        <v>デンパサール 着</v>
      </c>
      <c r="E14" s="25" t="str">
        <f>'旅行行程表（自分用）'!H14</f>
        <v>📞62 361 972877</v>
      </c>
    </row>
    <row r="15" spans="1:3">
      <c r="A15" s="26"/>
      <c r="B15" s="27"/>
      <c r="C15" s="1"/>
    </row>
    <row r="16" hidden="1" outlineLevel="1" spans="1:5">
      <c r="A16" s="10">
        <f>'旅行行程表（自分用）'!A15</f>
        <v>3</v>
      </c>
      <c r="B16" s="11">
        <f>'旅行行程表（自分用）'!B15</f>
        <v>43920</v>
      </c>
      <c r="C16" s="12" t="str">
        <f>'旅行行程表（自分用）'!C15</f>
        <v/>
      </c>
      <c r="D16" s="13" t="str">
        <f>'旅行行程表（自分用）'!D15</f>
        <v/>
      </c>
      <c r="E16" s="14" t="str">
        <f>'旅行行程表（自分用）'!H15</f>
        <v>カジャネ・ムア</v>
      </c>
    </row>
    <row r="17" hidden="1" outlineLevel="1" spans="1:5">
      <c r="A17" s="15">
        <f>'旅行行程表（自分用）'!A16</f>
        <v>0</v>
      </c>
      <c r="B17" s="16">
        <f>'旅行行程表（自分用）'!B16</f>
        <v>43920</v>
      </c>
      <c r="C17" s="17" t="str">
        <f>'旅行行程表（自分用）'!C16</f>
        <v/>
      </c>
      <c r="D17" s="18" t="str">
        <f>'旅行行程表（自分用）'!D16</f>
        <v/>
      </c>
      <c r="E17" s="19" t="str">
        <f>'旅行行程表（自分用）'!H16</f>
        <v/>
      </c>
    </row>
    <row r="18" hidden="1" outlineLevel="1" spans="1:5">
      <c r="A18" s="15">
        <f>'旅行行程表（自分用）'!A17</f>
        <v>0</v>
      </c>
      <c r="B18" s="16">
        <f>'旅行行程表（自分用）'!B17</f>
        <v>0</v>
      </c>
      <c r="C18" s="17" t="str">
        <f>'旅行行程表（自分用）'!C17</f>
        <v/>
      </c>
      <c r="D18" s="18" t="str">
        <f>'旅行行程表（自分用）'!D17</f>
        <v/>
      </c>
      <c r="E18" s="20">
        <f>'旅行行程表（自分用）'!H17</f>
        <v>0</v>
      </c>
    </row>
    <row r="19" ht="15" hidden="1" outlineLevel="1" spans="1:5">
      <c r="A19" s="21">
        <f>'旅行行程表（自分用）'!A18</f>
        <v>0</v>
      </c>
      <c r="B19" s="22">
        <f>'旅行行程表（自分用）'!B18</f>
        <v>0</v>
      </c>
      <c r="C19" s="23" t="str">
        <f>'旅行行程表（自分用）'!C18</f>
        <v/>
      </c>
      <c r="D19" s="24" t="str">
        <f>'旅行行程表（自分用）'!D18</f>
        <v/>
      </c>
      <c r="E19" s="25" t="str">
        <f>'旅行行程表（自分用）'!H18</f>
        <v/>
      </c>
    </row>
    <row r="20" collapsed="1" spans="1:3">
      <c r="A20" s="26"/>
      <c r="B20" s="27"/>
      <c r="C20" s="1"/>
    </row>
    <row r="21" hidden="1" outlineLevel="1" spans="1:5">
      <c r="A21" s="10">
        <f>'旅行行程表（自分用）'!A19</f>
        <v>4</v>
      </c>
      <c r="B21" s="11">
        <f>'旅行行程表（自分用）'!B19</f>
        <v>43921</v>
      </c>
      <c r="C21" s="12" t="str">
        <f>'旅行行程表（自分用）'!C19</f>
        <v/>
      </c>
      <c r="D21" s="13" t="str">
        <f>'旅行行程表（自分用）'!D19</f>
        <v/>
      </c>
      <c r="E21" s="14" t="str">
        <f>'旅行行程表（自分用）'!H19</f>
        <v>カジャネ・ムア</v>
      </c>
    </row>
    <row r="22" hidden="1" outlineLevel="1" spans="1:5">
      <c r="A22" s="15">
        <f>'旅行行程表（自分用）'!A20</f>
        <v>0</v>
      </c>
      <c r="B22" s="16">
        <f>'旅行行程表（自分用）'!B20</f>
        <v>43921</v>
      </c>
      <c r="C22" s="17" t="str">
        <f>'旅行行程表（自分用）'!C20</f>
        <v/>
      </c>
      <c r="D22" s="18" t="str">
        <f>'旅行行程表（自分用）'!D20</f>
        <v/>
      </c>
      <c r="E22" s="19" t="str">
        <f>'旅行行程表（自分用）'!H20</f>
        <v/>
      </c>
    </row>
    <row r="23" hidden="1" outlineLevel="1" spans="1:5">
      <c r="A23" s="15">
        <f>'旅行行程表（自分用）'!A21</f>
        <v>0</v>
      </c>
      <c r="B23" s="16">
        <f>'旅行行程表（自分用）'!B21</f>
        <v>0</v>
      </c>
      <c r="C23" s="17" t="str">
        <f>'旅行行程表（自分用）'!C21</f>
        <v/>
      </c>
      <c r="D23" s="18" t="str">
        <f>'旅行行程表（自分用）'!D21</f>
        <v/>
      </c>
      <c r="E23" s="20">
        <f>'旅行行程表（自分用）'!H21</f>
        <v>0</v>
      </c>
    </row>
    <row r="24" ht="15" hidden="1" outlineLevel="1" spans="1:5">
      <c r="A24" s="21">
        <f>'旅行行程表（自分用）'!A22</f>
        <v>0</v>
      </c>
      <c r="B24" s="22">
        <f>'旅行行程表（自分用）'!B22</f>
        <v>0</v>
      </c>
      <c r="C24" s="23" t="str">
        <f>'旅行行程表（自分用）'!C22</f>
        <v/>
      </c>
      <c r="D24" s="24" t="str">
        <f>'旅行行程表（自分用）'!D22</f>
        <v/>
      </c>
      <c r="E24" s="25" t="str">
        <f>'旅行行程表（自分用）'!H22</f>
        <v/>
      </c>
    </row>
    <row r="25" ht="15" collapsed="1" spans="1:3">
      <c r="A25" s="26"/>
      <c r="B25" s="27"/>
      <c r="C25" s="1"/>
    </row>
    <row r="26" outlineLevel="1" spans="1:5">
      <c r="A26" s="10">
        <f>'旅行行程表（自分用）'!A23</f>
        <v>5</v>
      </c>
      <c r="B26" s="11">
        <f>'旅行行程表（自分用）'!B23</f>
        <v>43922</v>
      </c>
      <c r="C26" s="12" t="str">
        <f>'旅行行程表（自分用）'!C23</f>
        <v/>
      </c>
      <c r="D26" s="13" t="str">
        <f>'旅行行程表（自分用）'!D23</f>
        <v/>
      </c>
      <c r="E26" s="14" t="str">
        <f>'旅行行程表（自分用）'!H23</f>
        <v>ロイヤルピタマハ</v>
      </c>
    </row>
    <row r="27" outlineLevel="1" spans="1:5">
      <c r="A27" s="15">
        <f>'旅行行程表（自分用）'!A24</f>
        <v>0</v>
      </c>
      <c r="B27" s="16">
        <f>'旅行行程表（自分用）'!B24</f>
        <v>43922</v>
      </c>
      <c r="C27" s="17" t="str">
        <f>'旅行行程表（自分用）'!C24</f>
        <v/>
      </c>
      <c r="D27" s="18" t="str">
        <f>'旅行行程表（自分用）'!D24</f>
        <v/>
      </c>
      <c r="E27" s="19" t="str">
        <f>'旅行行程表（自分用）'!H24</f>
        <v>Kedewatan, Ubud, Gianyar, Bali 80571 インドネシア</v>
      </c>
    </row>
    <row r="28" outlineLevel="1" spans="1:5">
      <c r="A28" s="15">
        <f>'旅行行程表（自分用）'!A25</f>
        <v>0</v>
      </c>
      <c r="B28" s="16">
        <f>'旅行行程表（自分用）'!B25</f>
        <v>0</v>
      </c>
      <c r="C28" s="17" t="str">
        <f>'旅行行程表（自分用）'!C25</f>
        <v/>
      </c>
      <c r="D28" s="18" t="str">
        <f>'旅行行程表（自分用）'!D25</f>
        <v/>
      </c>
      <c r="E28" s="20">
        <f>'旅行行程表（自分用）'!H25</f>
        <v>0</v>
      </c>
    </row>
    <row r="29" ht="15" outlineLevel="1" spans="1:5">
      <c r="A29" s="21">
        <f>'旅行行程表（自分用）'!A26</f>
        <v>0</v>
      </c>
      <c r="B29" s="22">
        <f>'旅行行程表（自分用）'!B26</f>
        <v>0</v>
      </c>
      <c r="C29" s="23" t="str">
        <f>'旅行行程表（自分用）'!C26</f>
        <v/>
      </c>
      <c r="D29" s="24" t="str">
        <f>'旅行行程表（自分用）'!D26</f>
        <v/>
      </c>
      <c r="E29" s="25" t="str">
        <f>'旅行行程表（自分用）'!H26</f>
        <v>📞62 361 980022</v>
      </c>
    </row>
    <row r="30" ht="15" spans="1:3">
      <c r="A30" s="26"/>
      <c r="B30" s="27"/>
      <c r="C30" s="1"/>
    </row>
    <row r="31" outlineLevel="1" spans="1:5">
      <c r="A31" s="10">
        <f>'旅行行程表（自分用）'!A27</f>
        <v>6</v>
      </c>
      <c r="B31" s="11">
        <f>'旅行行程表（自分用）'!B27</f>
        <v>43923</v>
      </c>
      <c r="C31" s="12" t="str">
        <f>'旅行行程表（自分用）'!C27</f>
        <v/>
      </c>
      <c r="D31" s="13" t="str">
        <f>'旅行行程表（自分用）'!D27</f>
        <v/>
      </c>
      <c r="E31" s="14" t="str">
        <f>'旅行行程表（自分用）'!H27</f>
        <v>ロイヤルピタマハ</v>
      </c>
    </row>
    <row r="32" outlineLevel="1" spans="1:5">
      <c r="A32" s="15">
        <f>'旅行行程表（自分用）'!A28</f>
        <v>0</v>
      </c>
      <c r="B32" s="16">
        <f>'旅行行程表（自分用）'!B28</f>
        <v>43923</v>
      </c>
      <c r="C32" s="17" t="str">
        <f>'旅行行程表（自分用）'!C28</f>
        <v/>
      </c>
      <c r="D32" s="18" t="str">
        <f>'旅行行程表（自分用）'!D28</f>
        <v/>
      </c>
      <c r="E32" s="19" t="str">
        <f>'旅行行程表（自分用）'!H28</f>
        <v/>
      </c>
    </row>
    <row r="33" outlineLevel="1" spans="1:5">
      <c r="A33" s="15">
        <f>'旅行行程表（自分用）'!A29</f>
        <v>0</v>
      </c>
      <c r="B33" s="16">
        <f>'旅行行程表（自分用）'!B29</f>
        <v>0</v>
      </c>
      <c r="C33" s="17" t="str">
        <f>'旅行行程表（自分用）'!C29</f>
        <v/>
      </c>
      <c r="D33" s="18" t="str">
        <f>'旅行行程表（自分用）'!D29</f>
        <v/>
      </c>
      <c r="E33" s="20">
        <f>'旅行行程表（自分用）'!H29</f>
        <v>0</v>
      </c>
    </row>
    <row r="34" ht="15" outlineLevel="1" spans="1:5">
      <c r="A34" s="21">
        <f>'旅行行程表（自分用）'!A30</f>
        <v>0</v>
      </c>
      <c r="B34" s="22">
        <f>'旅行行程表（自分用）'!B30</f>
        <v>0</v>
      </c>
      <c r="C34" s="23" t="str">
        <f>'旅行行程表（自分用）'!C30</f>
        <v/>
      </c>
      <c r="D34" s="24" t="str">
        <f>'旅行行程表（自分用）'!D30</f>
        <v/>
      </c>
      <c r="E34" s="25" t="str">
        <f>'旅行行程表（自分用）'!H30</f>
        <v/>
      </c>
    </row>
    <row r="35" ht="15" spans="1:3">
      <c r="A35" s="26"/>
      <c r="B35" s="27"/>
      <c r="C35" s="1"/>
    </row>
    <row r="36" outlineLevel="1" spans="1:5">
      <c r="A36" s="10">
        <f>'旅行行程表（自分用）'!A31</f>
        <v>7</v>
      </c>
      <c r="B36" s="11">
        <f>'旅行行程表（自分用）'!B31</f>
        <v>43924</v>
      </c>
      <c r="C36" s="12" t="str">
        <f>'旅行行程表（自分用）'!C31</f>
        <v/>
      </c>
      <c r="D36" s="13" t="str">
        <f>'旅行行程表（自分用）'!D31</f>
        <v/>
      </c>
      <c r="E36" s="14" t="str">
        <f>'旅行行程表（自分用）'!H31</f>
        <v>機中泊</v>
      </c>
    </row>
    <row r="37" outlineLevel="1" spans="1:5">
      <c r="A37" s="15">
        <f>'旅行行程表（自分用）'!A32</f>
        <v>0</v>
      </c>
      <c r="B37" s="16">
        <f>'旅行行程表（自分用）'!B32</f>
        <v>43924</v>
      </c>
      <c r="C37" s="17">
        <f>'旅行行程表（自分用）'!C32</f>
        <v>0.861111111111111</v>
      </c>
      <c r="D37" s="18" t="str">
        <f>'旅行行程表（自分用）'!D32</f>
        <v>ガルーダ・インドネシア航空（インドネシア） デンパサール 発 (GA413)</v>
      </c>
      <c r="E37" s="19" t="str">
        <f>'旅行行程表（自分用）'!H32</f>
        <v/>
      </c>
    </row>
    <row r="38" outlineLevel="1" spans="1:5">
      <c r="A38" s="15">
        <f>'旅行行程表（自分用）'!A33</f>
        <v>0</v>
      </c>
      <c r="B38" s="16">
        <f>'旅行行程表（自分用）'!B33</f>
        <v>0</v>
      </c>
      <c r="C38" s="17">
        <f>'旅行行程表（自分用）'!C33</f>
        <v>0.909722222222222</v>
      </c>
      <c r="D38" s="18" t="str">
        <f>'旅行行程表（自分用）'!D33</f>
        <v>スカルノハッタ 着</v>
      </c>
      <c r="E38" s="20">
        <f>'旅行行程表（自分用）'!H33</f>
        <v>0</v>
      </c>
    </row>
    <row r="39" ht="15" outlineLevel="1" spans="1:5">
      <c r="A39" s="21">
        <f>'旅行行程表（自分用）'!A34</f>
        <v>0</v>
      </c>
      <c r="B39" s="22">
        <f>'旅行行程表（自分用）'!B34</f>
        <v>0</v>
      </c>
      <c r="C39" s="23">
        <f>'旅行行程表（自分用）'!C34</f>
        <v>0.986111111111111</v>
      </c>
      <c r="D39" s="24" t="str">
        <f>'旅行行程表（自分用）'!D34</f>
        <v>ガルーダ・インドネシア航空（インドネシア） スカルノハッタ 発 (GA874)</v>
      </c>
      <c r="E39" s="25" t="str">
        <f>'旅行行程表（自分用）'!H34</f>
        <v/>
      </c>
    </row>
    <row r="40" ht="15" spans="1:3">
      <c r="A40" s="26"/>
      <c r="B40" s="27"/>
      <c r="C40" s="1"/>
    </row>
    <row r="41" outlineLevel="1" spans="1:5">
      <c r="A41" s="10">
        <f>'旅行行程表（自分用）'!A35</f>
        <v>8</v>
      </c>
      <c r="B41" s="11">
        <f>'旅行行程表（自分用）'!B35</f>
        <v>43925</v>
      </c>
      <c r="C41" s="12">
        <f>'旅行行程表（自分用）'!C35</f>
        <v>0.368055555555556</v>
      </c>
      <c r="D41" s="13" t="str">
        <f>'旅行行程表（自分用）'!D35</f>
        <v>デンパサール 着</v>
      </c>
      <c r="E41" s="14" t="str">
        <f>'旅行行程表（自分用）'!H35</f>
        <v/>
      </c>
    </row>
    <row r="42" outlineLevel="1" spans="1:5">
      <c r="A42" s="15">
        <f>'旅行行程表（自分用）'!A36</f>
        <v>0</v>
      </c>
      <c r="B42" s="16">
        <f>'旅行行程表（自分用）'!B36</f>
        <v>43925</v>
      </c>
      <c r="C42" s="17" t="str">
        <f>'旅行行程表（自分用）'!C36</f>
        <v/>
      </c>
      <c r="D42" s="18" t="str">
        <f>'旅行行程表（自分用）'!D36</f>
        <v/>
      </c>
      <c r="E42" s="19" t="str">
        <f>'旅行行程表（自分用）'!H36</f>
        <v/>
      </c>
    </row>
    <row r="43" outlineLevel="1" spans="1:5">
      <c r="A43" s="15">
        <f>'旅行行程表（自分用）'!A37</f>
        <v>0</v>
      </c>
      <c r="B43" s="16">
        <f>'旅行行程表（自分用）'!B37</f>
        <v>0</v>
      </c>
      <c r="C43" s="17" t="str">
        <f>'旅行行程表（自分用）'!C37</f>
        <v/>
      </c>
      <c r="D43" s="18" t="str">
        <f>'旅行行程表（自分用）'!D37</f>
        <v/>
      </c>
      <c r="E43" s="20">
        <f>'旅行行程表（自分用）'!H37</f>
        <v>0</v>
      </c>
    </row>
    <row r="44" ht="15" outlineLevel="1" spans="1:5">
      <c r="A44" s="21">
        <f>'旅行行程表（自分用）'!A38</f>
        <v>0</v>
      </c>
      <c r="B44" s="22" t="str">
        <f>'旅行行程表（自分用）'!B38</f>
        <v/>
      </c>
      <c r="C44" s="23" t="str">
        <f>'旅行行程表（自分用）'!C38</f>
        <v/>
      </c>
      <c r="D44" s="24" t="str">
        <f>'旅行行程表（自分用）'!D38</f>
        <v/>
      </c>
      <c r="E44" s="25" t="str">
        <f>'旅行行程表（自分用）'!H38</f>
        <v/>
      </c>
    </row>
    <row r="45" spans="1:3">
      <c r="A45" s="26"/>
      <c r="B45" s="27"/>
      <c r="C45" s="1"/>
    </row>
    <row r="46" hidden="1" outlineLevel="1" spans="1:5">
      <c r="A46" s="10" t="str">
        <f>'旅行行程表（自分用）'!A39</f>
        <v/>
      </c>
      <c r="B46" s="11" t="str">
        <f>'旅行行程表（自分用）'!B39</f>
        <v/>
      </c>
      <c r="C46" s="12" t="str">
        <f>'旅行行程表（自分用）'!C39</f>
        <v/>
      </c>
      <c r="D46" s="13" t="str">
        <f>'旅行行程表（自分用）'!D39</f>
        <v/>
      </c>
      <c r="E46" s="14" t="str">
        <f>'旅行行程表（自分用）'!H39</f>
        <v/>
      </c>
    </row>
    <row r="47" hidden="1" outlineLevel="1" spans="1:5">
      <c r="A47" s="15">
        <f>'旅行行程表（自分用）'!A40</f>
        <v>0</v>
      </c>
      <c r="B47" s="16" t="str">
        <f>'旅行行程表（自分用）'!B40</f>
        <v/>
      </c>
      <c r="C47" s="17" t="str">
        <f>'旅行行程表（自分用）'!C40</f>
        <v/>
      </c>
      <c r="D47" s="18" t="str">
        <f>'旅行行程表（自分用）'!D40</f>
        <v/>
      </c>
      <c r="E47" s="19" t="str">
        <f>'旅行行程表（自分用）'!H40</f>
        <v/>
      </c>
    </row>
    <row r="48" hidden="1" outlineLevel="1" spans="1:5">
      <c r="A48" s="15">
        <f>'旅行行程表（自分用）'!A41</f>
        <v>0</v>
      </c>
      <c r="B48" s="16">
        <f>'旅行行程表（自分用）'!B41</f>
        <v>0</v>
      </c>
      <c r="C48" s="17" t="str">
        <f>'旅行行程表（自分用）'!C41</f>
        <v/>
      </c>
      <c r="D48" s="18" t="str">
        <f>'旅行行程表（自分用）'!D41</f>
        <v/>
      </c>
      <c r="E48" s="20">
        <f>'旅行行程表（自分用）'!H41</f>
        <v>0</v>
      </c>
    </row>
    <row r="49" ht="15" hidden="1" outlineLevel="1" spans="1:5">
      <c r="A49" s="21">
        <f>'旅行行程表（自分用）'!A42</f>
        <v>0</v>
      </c>
      <c r="B49" s="22">
        <f>'旅行行程表（自分用）'!B42</f>
        <v>0</v>
      </c>
      <c r="C49" s="23" t="str">
        <f>'旅行行程表（自分用）'!C42</f>
        <v/>
      </c>
      <c r="D49" s="24" t="str">
        <f>'旅行行程表（自分用）'!D42</f>
        <v/>
      </c>
      <c r="E49" s="25" t="str">
        <f>'旅行行程表（自分用）'!H42</f>
        <v/>
      </c>
    </row>
    <row r="50" collapsed="1" spans="1:3">
      <c r="A50" s="26"/>
      <c r="B50" s="27"/>
      <c r="C50" s="1"/>
    </row>
    <row r="51" hidden="1" outlineLevel="1" spans="1:5">
      <c r="A51" s="10" t="str">
        <f>'旅行行程表（自分用）'!A43</f>
        <v/>
      </c>
      <c r="B51" s="11" t="str">
        <f>'旅行行程表（自分用）'!B43</f>
        <v/>
      </c>
      <c r="C51" s="12" t="str">
        <f>'旅行行程表（自分用）'!C43</f>
        <v/>
      </c>
      <c r="D51" s="13" t="str">
        <f>'旅行行程表（自分用）'!D43</f>
        <v/>
      </c>
      <c r="E51" s="14" t="str">
        <f>'旅行行程表（自分用）'!H43</f>
        <v/>
      </c>
    </row>
    <row r="52" hidden="1" outlineLevel="1" spans="1:5">
      <c r="A52" s="15"/>
      <c r="B52" s="16"/>
      <c r="C52" s="17"/>
      <c r="D52" s="18"/>
      <c r="E52" s="19"/>
    </row>
    <row r="53" hidden="1" outlineLevel="1" spans="1:5">
      <c r="A53" s="15"/>
      <c r="B53" s="16"/>
      <c r="C53" s="17"/>
      <c r="D53" s="18"/>
      <c r="E53" s="20"/>
    </row>
    <row r="54" ht="15" hidden="1" outlineLevel="1" spans="1:5">
      <c r="A54" s="21"/>
      <c r="B54" s="22"/>
      <c r="C54" s="23"/>
      <c r="D54" s="24"/>
      <c r="E54" s="25"/>
    </row>
    <row r="55" collapsed="1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</sheetData>
  <mergeCells count="31">
    <mergeCell ref="A1:E1"/>
    <mergeCell ref="A6:A9"/>
    <mergeCell ref="A11:A14"/>
    <mergeCell ref="A16:A19"/>
    <mergeCell ref="A21:A24"/>
    <mergeCell ref="A26:A29"/>
    <mergeCell ref="A31:A34"/>
    <mergeCell ref="A36:A39"/>
    <mergeCell ref="A41:A44"/>
    <mergeCell ref="A46:A49"/>
    <mergeCell ref="A51:A54"/>
    <mergeCell ref="B6:B9"/>
    <mergeCell ref="B11:B14"/>
    <mergeCell ref="B16:B19"/>
    <mergeCell ref="B21:B24"/>
    <mergeCell ref="B26:B29"/>
    <mergeCell ref="B31:B34"/>
    <mergeCell ref="B36:B39"/>
    <mergeCell ref="B41:B44"/>
    <mergeCell ref="B46:B49"/>
    <mergeCell ref="B51:B54"/>
    <mergeCell ref="E7:E8"/>
    <mergeCell ref="E12:E13"/>
    <mergeCell ref="E17:E18"/>
    <mergeCell ref="E22:E23"/>
    <mergeCell ref="E27:E28"/>
    <mergeCell ref="E32:E33"/>
    <mergeCell ref="E37:E38"/>
    <mergeCell ref="E42:E43"/>
    <mergeCell ref="E47:E48"/>
    <mergeCell ref="E52:E53"/>
  </mergeCells>
  <printOptions horizontalCentered="1"/>
  <pageMargins left="0.393055555555556" right="0.393055555555556" top="0.393055555555556" bottom="0.393055555555556" header="0.393055555555556" footer="0.393055555555556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42"/>
  <sheetViews>
    <sheetView workbookViewId="0">
      <selection activeCell="K21" sqref="K21"/>
    </sheetView>
  </sheetViews>
  <sheetFormatPr defaultColWidth="9" defaultRowHeight="14.25"/>
  <cols>
    <col min="2" max="2" width="45" customWidth="1"/>
    <col min="4" max="4" width="9.25" customWidth="1"/>
    <col min="6" max="6" width="9.25" customWidth="1"/>
  </cols>
  <sheetData>
    <row r="1" spans="1:6">
      <c r="A1" t="s">
        <v>41</v>
      </c>
      <c r="B1" t="s">
        <v>42</v>
      </c>
      <c r="E1" t="s">
        <v>43</v>
      </c>
      <c r="F1" t="s">
        <v>44</v>
      </c>
    </row>
    <row r="2" spans="1:7">
      <c r="A2" t="s">
        <v>45</v>
      </c>
      <c r="B2" t="s">
        <v>46</v>
      </c>
      <c r="D2" t="s">
        <v>47</v>
      </c>
      <c r="E2" t="str">
        <f>IF(基本情報入力!$D$16="","C","K")</f>
        <v>K</v>
      </c>
      <c r="F2" t="str">
        <f>IF(HOUR(基本情報入力!$D$12)&lt;HOUR(基本情報入力!$D$14),"T","Y")</f>
        <v>Y</v>
      </c>
      <c r="G2" t="str">
        <f>E2&amp;F2</f>
        <v>KY</v>
      </c>
    </row>
    <row r="3" spans="1:7">
      <c r="A3" t="s">
        <v>48</v>
      </c>
      <c r="B3" t="s">
        <v>49</v>
      </c>
      <c r="D3" t="s">
        <v>50</v>
      </c>
      <c r="E3" t="str">
        <f>IF(基本情報入力!$H$16="","C","K")</f>
        <v>K</v>
      </c>
      <c r="F3" t="str">
        <f>IF(AND(基本情報入力!H17&lt;&gt;"",HOUR(基本情報入力!$H$22)&lt;HOUR(基本情報入力!$H$24)),"T",IF(AND(基本情報入力!$H$16="",HOUR(基本情報入力!$H$12)&lt;HOUR(基本情報入力!$H$14)),"T","Y"))</f>
        <v>Y</v>
      </c>
      <c r="G3" t="str">
        <f>E3&amp;F3</f>
        <v>KY</v>
      </c>
    </row>
    <row r="4" spans="1:2">
      <c r="A4" t="s">
        <v>51</v>
      </c>
      <c r="B4" t="s">
        <v>52</v>
      </c>
    </row>
    <row r="5" spans="1:4">
      <c r="A5" t="s">
        <v>53</v>
      </c>
      <c r="B5" t="s">
        <v>54</v>
      </c>
      <c r="D5" t="s">
        <v>47</v>
      </c>
    </row>
    <row r="6" spans="1:11">
      <c r="A6" t="s">
        <v>55</v>
      </c>
      <c r="B6" t="s">
        <v>56</v>
      </c>
      <c r="D6" t="s">
        <v>57</v>
      </c>
      <c r="E6" t="s">
        <v>58</v>
      </c>
      <c r="F6" t="s">
        <v>59</v>
      </c>
      <c r="G6" t="s">
        <v>60</v>
      </c>
      <c r="H6" t="s">
        <v>61</v>
      </c>
      <c r="I6" t="s">
        <v>62</v>
      </c>
      <c r="J6" t="s">
        <v>63</v>
      </c>
      <c r="K6" t="s">
        <v>64</v>
      </c>
    </row>
    <row r="7" spans="1:11">
      <c r="A7" t="s">
        <v>65</v>
      </c>
      <c r="B7" t="s">
        <v>66</v>
      </c>
      <c r="D7" s="1"/>
      <c r="E7" t="str">
        <f t="shared" ref="E7:E14" si="0">""</f>
        <v/>
      </c>
      <c r="F7" s="1"/>
      <c r="G7" t="str">
        <f t="shared" ref="G7:G14" si="1">""</f>
        <v/>
      </c>
      <c r="H7" s="1">
        <f>基本情報入力!$D$12</f>
        <v>0.916666666666667</v>
      </c>
      <c r="I7" t="str">
        <f>VLOOKUP(LEFT(基本情報入力!$D$6,2),$A$1:$B$142,2,FALSE)&amp;" "&amp;基本情報入力!$D$8&amp;" 発 ("&amp;基本情報入力!$D$6&amp;")"</f>
        <v>ガルーダ・インドネシア航空（インドネシア） 成田空港 発 (GA881)</v>
      </c>
      <c r="J7" s="1" t="str">
        <f>""</f>
        <v/>
      </c>
      <c r="K7" t="str">
        <f>""</f>
        <v/>
      </c>
    </row>
    <row r="8" spans="1:11">
      <c r="A8" t="s">
        <v>67</v>
      </c>
      <c r="B8" t="s">
        <v>68</v>
      </c>
      <c r="D8" s="1"/>
      <c r="E8" t="str">
        <f>VLOOKUP(LEFT(基本情報入力!$D$6,2),$A$1:$B$142,2,FALSE)</f>
        <v>ガルーダ・インドネシア航空（インドネシア）</v>
      </c>
      <c r="F8" s="1"/>
      <c r="G8" t="str">
        <f t="shared" si="1"/>
        <v/>
      </c>
      <c r="H8" s="1">
        <f>基本情報入力!$D$14</f>
        <v>0.25</v>
      </c>
      <c r="I8" t="str">
        <f>基本情報入力!$D$18&amp;" 着"</f>
        <v>クアラルンプール 着</v>
      </c>
      <c r="J8" s="1" t="str">
        <f>""</f>
        <v/>
      </c>
      <c r="K8" t="str">
        <f>""</f>
        <v/>
      </c>
    </row>
    <row r="9" spans="1:11">
      <c r="A9" t="s">
        <v>69</v>
      </c>
      <c r="B9" t="s">
        <v>70</v>
      </c>
      <c r="D9" s="1">
        <f>基本情報入力!$D$12</f>
        <v>0.916666666666667</v>
      </c>
      <c r="E9" t="str">
        <f>基本情報入力!$D$8&amp;" 発 ("&amp;基本情報入力!$D$6&amp;")"</f>
        <v>成田空港 発 (GA881)</v>
      </c>
      <c r="F9" s="1"/>
      <c r="G9" t="str">
        <f>VLOOKUP(LEFT(基本情報入力!$D$6,2),$A$1:$B$142,2,FALSE)</f>
        <v>ガルーダ・インドネシア航空（インドネシア）</v>
      </c>
      <c r="H9" s="1">
        <f>基本情報入力!$D$22</f>
        <v>0.333333333333333</v>
      </c>
      <c r="I9" t="str">
        <f>VLOOKUP(LEFT(基本情報入力!$D$16,2),$A$1:$B$142,2,FALSE)&amp;" "&amp;基本情報入力!$D$18&amp;" 発 ("&amp;基本情報入力!$D$16&amp;")"</f>
        <v>エアアジア(マレーシア) クアラルンプール 発 (AK001)</v>
      </c>
      <c r="J9" s="1" t="str">
        <f>""</f>
        <v/>
      </c>
      <c r="K9" t="str">
        <f>VLOOKUP(LEFT(基本情報入力!$D$6,2),$A$1:$B$142,2,FALSE)</f>
        <v>ガルーダ・インドネシア航空（インドネシア）</v>
      </c>
    </row>
    <row r="10" spans="1:11">
      <c r="A10" t="s">
        <v>71</v>
      </c>
      <c r="B10" t="s">
        <v>72</v>
      </c>
      <c r="D10" s="1">
        <f>基本情報入力!$D$14</f>
        <v>0.25</v>
      </c>
      <c r="E10" t="str">
        <f>基本情報入力!$H$8&amp;" 着"</f>
        <v>デンパサール 着</v>
      </c>
      <c r="F10" s="1">
        <f>基本情報入力!$D$12</f>
        <v>0.916666666666667</v>
      </c>
      <c r="G10" t="str">
        <f>基本情報入力!$D$8&amp;" 発 ("&amp;基本情報入力!$D$6&amp;")"</f>
        <v>成田空港 発 (GA881)</v>
      </c>
      <c r="H10" s="1">
        <f>基本情報入力!$D$24</f>
        <v>0.416666666666667</v>
      </c>
      <c r="I10" t="str">
        <f>基本情報入力!$H$8&amp;" 着"</f>
        <v>デンパサール 着</v>
      </c>
      <c r="J10" s="1">
        <f>基本情報入力!$D$12</f>
        <v>0.916666666666667</v>
      </c>
      <c r="K10" t="str">
        <f>基本情報入力!$D$8&amp;" 発 ("&amp;基本情報入力!$D$6&amp;")"</f>
        <v>成田空港 発 (GA881)</v>
      </c>
    </row>
    <row r="11" spans="1:11">
      <c r="A11" t="s">
        <v>73</v>
      </c>
      <c r="B11" t="s">
        <v>74</v>
      </c>
      <c r="D11" s="1" t="str">
        <f t="shared" ref="D11:D14" si="2">""</f>
        <v/>
      </c>
      <c r="E11" s="1" t="str">
        <f t="shared" si="0"/>
        <v/>
      </c>
      <c r="F11" s="1">
        <f>基本情報入力!$D$14</f>
        <v>0.25</v>
      </c>
      <c r="G11" t="str">
        <f>基本情報入力!$H$8&amp;" 着"</f>
        <v>デンパサール 着</v>
      </c>
      <c r="H11" s="1" t="str">
        <f t="shared" ref="H11:H14" si="3">""</f>
        <v/>
      </c>
      <c r="I11" s="1" t="str">
        <f t="shared" ref="I11:I14" si="4">""</f>
        <v/>
      </c>
      <c r="J11" s="1">
        <f>基本情報入力!$D$14</f>
        <v>0.25</v>
      </c>
      <c r="K11" t="str">
        <f>基本情報入力!$D$18&amp;" 着"</f>
        <v>クアラルンプール 着</v>
      </c>
    </row>
    <row r="12" spans="1:11">
      <c r="A12" t="s">
        <v>75</v>
      </c>
      <c r="B12" t="s">
        <v>76</v>
      </c>
      <c r="D12" s="1" t="str">
        <f t="shared" si="2"/>
        <v/>
      </c>
      <c r="E12" s="1" t="str">
        <f t="shared" si="0"/>
        <v/>
      </c>
      <c r="F12" s="1" t="str">
        <f t="shared" ref="F12:F14" si="5">""</f>
        <v/>
      </c>
      <c r="G12" s="1" t="str">
        <f t="shared" si="1"/>
        <v/>
      </c>
      <c r="H12" s="1" t="str">
        <f t="shared" si="3"/>
        <v/>
      </c>
      <c r="I12" s="1" t="str">
        <f t="shared" si="4"/>
        <v/>
      </c>
      <c r="K12" t="str">
        <f>VLOOKUP(LEFT(基本情報入力!$D$16,2),$A$1:$B$142,2,FALSE)</f>
        <v>エアアジア(マレーシア)</v>
      </c>
    </row>
    <row r="13" spans="1:11">
      <c r="A13" t="s">
        <v>77</v>
      </c>
      <c r="B13" t="s">
        <v>78</v>
      </c>
      <c r="D13" s="1" t="str">
        <f t="shared" si="2"/>
        <v/>
      </c>
      <c r="E13" s="1" t="str">
        <f t="shared" si="0"/>
        <v/>
      </c>
      <c r="F13" s="1" t="str">
        <f t="shared" si="5"/>
        <v/>
      </c>
      <c r="G13" s="1" t="str">
        <f t="shared" si="1"/>
        <v/>
      </c>
      <c r="H13" s="1" t="str">
        <f t="shared" si="3"/>
        <v/>
      </c>
      <c r="I13" s="1" t="str">
        <f t="shared" si="4"/>
        <v/>
      </c>
      <c r="J13" s="1">
        <f>基本情報入力!$D$22</f>
        <v>0.333333333333333</v>
      </c>
      <c r="K13" t="str">
        <f>基本情報入力!$D$18&amp;" 発 ("&amp;基本情報入力!$D$16&amp;")"</f>
        <v>クアラルンプール 発 (AK001)</v>
      </c>
    </row>
    <row r="14" spans="1:11">
      <c r="A14" t="s">
        <v>79</v>
      </c>
      <c r="B14" t="s">
        <v>80</v>
      </c>
      <c r="D14" s="1" t="str">
        <f t="shared" si="2"/>
        <v/>
      </c>
      <c r="E14" s="1" t="str">
        <f t="shared" si="0"/>
        <v/>
      </c>
      <c r="F14" s="1" t="str">
        <f t="shared" si="5"/>
        <v/>
      </c>
      <c r="G14" s="1" t="str">
        <f t="shared" si="1"/>
        <v/>
      </c>
      <c r="H14" s="1" t="str">
        <f t="shared" si="3"/>
        <v/>
      </c>
      <c r="I14" s="1" t="str">
        <f t="shared" si="4"/>
        <v/>
      </c>
      <c r="J14" s="1">
        <f>基本情報入力!$D$24</f>
        <v>0.416666666666667</v>
      </c>
      <c r="K14" t="str">
        <f>基本情報入力!$H$8&amp;" 着"</f>
        <v>デンパサール 着</v>
      </c>
    </row>
    <row r="15" spans="1:4">
      <c r="A15" t="s">
        <v>81</v>
      </c>
      <c r="B15" t="s">
        <v>82</v>
      </c>
      <c r="D15" t="s">
        <v>50</v>
      </c>
    </row>
    <row r="16" spans="1:11">
      <c r="A16" t="s">
        <v>83</v>
      </c>
      <c r="B16" t="s">
        <v>84</v>
      </c>
      <c r="D16" t="s">
        <v>57</v>
      </c>
      <c r="E16" t="s">
        <v>58</v>
      </c>
      <c r="F16" t="s">
        <v>59</v>
      </c>
      <c r="G16" t="s">
        <v>60</v>
      </c>
      <c r="H16" t="s">
        <v>61</v>
      </c>
      <c r="I16" t="s">
        <v>62</v>
      </c>
      <c r="J16" t="s">
        <v>63</v>
      </c>
      <c r="K16" t="s">
        <v>64</v>
      </c>
    </row>
    <row r="17" spans="1:11">
      <c r="A17" t="s">
        <v>85</v>
      </c>
      <c r="B17" t="s">
        <v>86</v>
      </c>
      <c r="D17" s="1"/>
      <c r="E17" t="str">
        <f t="shared" ref="E17:J17" si="6">""</f>
        <v/>
      </c>
      <c r="F17" s="1"/>
      <c r="G17" t="str">
        <f t="shared" si="6"/>
        <v/>
      </c>
      <c r="H17" s="1">
        <f>基本情報入力!$H$12</f>
        <v>0.861111111111111</v>
      </c>
      <c r="I17" t="str">
        <f>VLOOKUP(LEFT(基本情報入力!$H$6,2),$A$1:$B$142,2,FALSE)&amp;" "&amp;基本情報入力!$H$8&amp;" 発 ("&amp;基本情報入力!$H$6&amp;")"</f>
        <v>ガルーダ・インドネシア航空（インドネシア） デンパサール 発 (GA413)</v>
      </c>
      <c r="J17" s="1" t="str">
        <f t="shared" si="6"/>
        <v/>
      </c>
      <c r="K17" t="str">
        <f>""</f>
        <v/>
      </c>
    </row>
    <row r="18" spans="1:11">
      <c r="A18" t="s">
        <v>87</v>
      </c>
      <c r="B18" t="s">
        <v>88</v>
      </c>
      <c r="D18" s="1"/>
      <c r="E18" t="str">
        <f>VLOOKUP(LEFT(基本情報入力!$H$6,2),$A$1:$B$142,2,FALSE)</f>
        <v>ガルーダ・インドネシア航空（インドネシア）</v>
      </c>
      <c r="F18" s="1"/>
      <c r="G18" t="str">
        <f>""</f>
        <v/>
      </c>
      <c r="H18" s="1">
        <f>基本情報入力!$H$14</f>
        <v>0.909722222222222</v>
      </c>
      <c r="I18" t="str">
        <f>基本情報入力!$H$18&amp;" 着"</f>
        <v>スカルノハッタ 着</v>
      </c>
      <c r="J18" s="1">
        <f>基本情報入力!$H$12</f>
        <v>0.861111111111111</v>
      </c>
      <c r="K18" t="str">
        <f>VLOOKUP(LEFT(基本情報入力!$H$6,2),$A$1:$B$142,2,FALSE)&amp;" "&amp;基本情報入力!$H$8&amp;" 発 ("&amp;基本情報入力!$H$6&amp;")"</f>
        <v>ガルーダ・インドネシア航空（インドネシア） デンパサール 発 (GA413)</v>
      </c>
    </row>
    <row r="19" spans="1:11">
      <c r="A19" t="s">
        <v>89</v>
      </c>
      <c r="B19" t="s">
        <v>90</v>
      </c>
      <c r="D19" s="1">
        <f>基本情報入力!$H$12</f>
        <v>0.861111111111111</v>
      </c>
      <c r="E19" t="str">
        <f>基本情報入力!$H$8&amp;" 発 ("&amp;基本情報入力!$H$6&amp;")"</f>
        <v>デンパサール 発 (GA413)</v>
      </c>
      <c r="F19" s="1"/>
      <c r="G19" t="str">
        <f>VLOOKUP(LEFT(基本情報入力!$H$6,2),$A$1:$B$142,2,FALSE)</f>
        <v>ガルーダ・インドネシア航空（インドネシア）</v>
      </c>
      <c r="H19" s="1">
        <f>基本情報入力!$H$22</f>
        <v>0.986111111111111</v>
      </c>
      <c r="I19" t="str">
        <f>VLOOKUP(LEFT(基本情報入力!$H$16,2),$A$1:$B$142,2,FALSE)&amp;" "&amp;基本情報入力!$H$18&amp;" 発 ("&amp;基本情報入力!$H$16&amp;")"</f>
        <v>ガルーダ・インドネシア航空（インドネシア） スカルノハッタ 発 (GA874)</v>
      </c>
      <c r="J19" s="1">
        <f>基本情報入力!$H$14</f>
        <v>0.909722222222222</v>
      </c>
      <c r="K19" t="str">
        <f>基本情報入力!$H$18&amp;" 着"</f>
        <v>スカルノハッタ 着</v>
      </c>
    </row>
    <row r="20" spans="1:11">
      <c r="A20" t="s">
        <v>91</v>
      </c>
      <c r="B20" t="s">
        <v>92</v>
      </c>
      <c r="D20" s="1">
        <f>基本情報入力!$H$14</f>
        <v>0.909722222222222</v>
      </c>
      <c r="E20" t="str">
        <f>基本情報入力!$H$8&amp;" 着"</f>
        <v>デンパサール 着</v>
      </c>
      <c r="F20" s="1">
        <f>基本情報入力!$H$12</f>
        <v>0.861111111111111</v>
      </c>
      <c r="G20" t="str">
        <f>基本情報入力!$H$8&amp;" 発 ("&amp;基本情報入力!$H$6&amp;")"</f>
        <v>デンパサール 発 (GA413)</v>
      </c>
      <c r="H20" s="1">
        <f>基本情報入力!$H$24</f>
        <v>0.368055555555556</v>
      </c>
      <c r="I20" t="str">
        <f>基本情報入力!$H$8&amp;" 着"</f>
        <v>デンパサール 着</v>
      </c>
      <c r="J20" s="1">
        <f>基本情報入力!$H$22</f>
        <v>0.986111111111111</v>
      </c>
      <c r="K20" t="str">
        <f>VLOOKUP(LEFT(基本情報入力!$H$16,2),$A$1:$B$142,2,FALSE)&amp;" "&amp;基本情報入力!$H$18&amp;" 発 ("&amp;基本情報入力!$H$16&amp;")"</f>
        <v>ガルーダ・インドネシア航空（インドネシア） スカルノハッタ 発 (GA874)</v>
      </c>
    </row>
    <row r="21" spans="1:11">
      <c r="A21" t="s">
        <v>93</v>
      </c>
      <c r="B21" t="s">
        <v>94</v>
      </c>
      <c r="D21" s="1" t="str">
        <f t="shared" ref="D21:I21" si="7">""</f>
        <v/>
      </c>
      <c r="E21" s="1" t="str">
        <f t="shared" si="7"/>
        <v/>
      </c>
      <c r="F21" s="1">
        <f>基本情報入力!$H$14</f>
        <v>0.909722222222222</v>
      </c>
      <c r="G21" t="str">
        <f>基本情報入力!$H$8&amp;" 着"</f>
        <v>デンパサール 着</v>
      </c>
      <c r="H21" s="1" t="str">
        <f t="shared" si="7"/>
        <v/>
      </c>
      <c r="I21" s="1" t="str">
        <f t="shared" si="7"/>
        <v/>
      </c>
      <c r="J21" s="1">
        <f>基本情報入力!$H$24</f>
        <v>0.368055555555556</v>
      </c>
      <c r="K21" t="str">
        <f>基本情報入力!$H$8&amp;" 着"</f>
        <v>デンパサール 着</v>
      </c>
    </row>
    <row r="22" spans="1:9">
      <c r="A22" t="s">
        <v>95</v>
      </c>
      <c r="B22" t="s">
        <v>96</v>
      </c>
      <c r="D22" s="1" t="str">
        <f t="shared" ref="D22:I22" si="8">""</f>
        <v/>
      </c>
      <c r="E22" s="1" t="str">
        <f t="shared" si="8"/>
        <v/>
      </c>
      <c r="F22" s="1" t="str">
        <f t="shared" si="8"/>
        <v/>
      </c>
      <c r="G22" s="1" t="str">
        <f t="shared" si="8"/>
        <v/>
      </c>
      <c r="H22" s="1" t="str">
        <f t="shared" si="8"/>
        <v/>
      </c>
      <c r="I22" s="1" t="str">
        <f t="shared" si="8"/>
        <v/>
      </c>
    </row>
    <row r="23" spans="1:10">
      <c r="A23" t="s">
        <v>97</v>
      </c>
      <c r="B23" t="s">
        <v>98</v>
      </c>
      <c r="D23" s="1" t="str">
        <f t="shared" ref="D23:I23" si="9">""</f>
        <v/>
      </c>
      <c r="E23" s="1" t="str">
        <f t="shared" si="9"/>
        <v/>
      </c>
      <c r="F23" s="1" t="str">
        <f t="shared" si="9"/>
        <v/>
      </c>
      <c r="G23" s="1" t="str">
        <f t="shared" si="9"/>
        <v/>
      </c>
      <c r="H23" s="1" t="str">
        <f t="shared" si="9"/>
        <v/>
      </c>
      <c r="I23" s="1" t="str">
        <f t="shared" si="9"/>
        <v/>
      </c>
      <c r="J23" s="1"/>
    </row>
    <row r="24" spans="1:10">
      <c r="A24" t="s">
        <v>99</v>
      </c>
      <c r="B24" t="s">
        <v>100</v>
      </c>
      <c r="D24" s="1" t="str">
        <f t="shared" ref="D24:I24" si="10">""</f>
        <v/>
      </c>
      <c r="E24" s="1" t="str">
        <f t="shared" si="10"/>
        <v/>
      </c>
      <c r="F24" s="1" t="str">
        <f t="shared" si="10"/>
        <v/>
      </c>
      <c r="G24" s="1" t="str">
        <f t="shared" si="10"/>
        <v/>
      </c>
      <c r="H24" s="1" t="str">
        <f t="shared" si="10"/>
        <v/>
      </c>
      <c r="I24" s="1" t="str">
        <f t="shared" si="10"/>
        <v/>
      </c>
      <c r="J24" s="1"/>
    </row>
    <row r="25" spans="1:2">
      <c r="A25" t="s">
        <v>101</v>
      </c>
      <c r="B25" t="s">
        <v>102</v>
      </c>
    </row>
    <row r="26" spans="1:2">
      <c r="A26" t="s">
        <v>103</v>
      </c>
      <c r="B26" t="s">
        <v>104</v>
      </c>
    </row>
    <row r="27" spans="1:2">
      <c r="A27" t="s">
        <v>105</v>
      </c>
      <c r="B27" t="s">
        <v>106</v>
      </c>
    </row>
    <row r="28" spans="1:2">
      <c r="A28" t="s">
        <v>107</v>
      </c>
      <c r="B28" t="s">
        <v>108</v>
      </c>
    </row>
    <row r="29" spans="1:2">
      <c r="A29" t="s">
        <v>109</v>
      </c>
      <c r="B29" t="s">
        <v>110</v>
      </c>
    </row>
    <row r="30" spans="1:2">
      <c r="A30" t="s">
        <v>111</v>
      </c>
      <c r="B30" t="s">
        <v>112</v>
      </c>
    </row>
    <row r="31" spans="1:2">
      <c r="A31" t="s">
        <v>113</v>
      </c>
      <c r="B31" t="s">
        <v>114</v>
      </c>
    </row>
    <row r="32" spans="1:2">
      <c r="A32" t="s">
        <v>115</v>
      </c>
      <c r="B32" t="s">
        <v>116</v>
      </c>
    </row>
    <row r="33" spans="1:2">
      <c r="A33" t="s">
        <v>117</v>
      </c>
      <c r="B33" t="s">
        <v>118</v>
      </c>
    </row>
    <row r="34" spans="1:2">
      <c r="A34" t="s">
        <v>119</v>
      </c>
      <c r="B34" t="s">
        <v>120</v>
      </c>
    </row>
    <row r="35" spans="1:2">
      <c r="A35" t="s">
        <v>121</v>
      </c>
      <c r="B35" t="s">
        <v>122</v>
      </c>
    </row>
    <row r="36" spans="1:2">
      <c r="A36" t="s">
        <v>123</v>
      </c>
      <c r="B36" t="s">
        <v>124</v>
      </c>
    </row>
    <row r="37" spans="1:2">
      <c r="A37" t="s">
        <v>125</v>
      </c>
      <c r="B37" t="s">
        <v>126</v>
      </c>
    </row>
    <row r="38" spans="1:2">
      <c r="A38" t="s">
        <v>127</v>
      </c>
      <c r="B38" t="s">
        <v>128</v>
      </c>
    </row>
    <row r="39" spans="1:2">
      <c r="A39" t="s">
        <v>129</v>
      </c>
      <c r="B39" t="s">
        <v>130</v>
      </c>
    </row>
    <row r="40" spans="1:2">
      <c r="A40" t="s">
        <v>131</v>
      </c>
      <c r="B40" t="s">
        <v>132</v>
      </c>
    </row>
    <row r="41" spans="1:2">
      <c r="A41" t="s">
        <v>133</v>
      </c>
      <c r="B41" t="s">
        <v>134</v>
      </c>
    </row>
    <row r="42" spans="1:2">
      <c r="A42" t="s">
        <v>135</v>
      </c>
      <c r="B42" t="s">
        <v>136</v>
      </c>
    </row>
    <row r="43" spans="1:2">
      <c r="A43" t="s">
        <v>137</v>
      </c>
      <c r="B43" t="s">
        <v>138</v>
      </c>
    </row>
    <row r="44" spans="1:2">
      <c r="A44" t="s">
        <v>139</v>
      </c>
      <c r="B44" t="s">
        <v>140</v>
      </c>
    </row>
    <row r="45" spans="1:2">
      <c r="A45" t="s">
        <v>141</v>
      </c>
      <c r="B45" t="s">
        <v>142</v>
      </c>
    </row>
    <row r="46" spans="1:2">
      <c r="A46" t="s">
        <v>143</v>
      </c>
      <c r="B46" t="s">
        <v>144</v>
      </c>
    </row>
    <row r="47" spans="1:2">
      <c r="A47" t="s">
        <v>145</v>
      </c>
      <c r="B47" t="s">
        <v>146</v>
      </c>
    </row>
    <row r="48" spans="1:2">
      <c r="A48" t="s">
        <v>147</v>
      </c>
      <c r="B48" t="s">
        <v>148</v>
      </c>
    </row>
    <row r="49" spans="1:2">
      <c r="A49" t="s">
        <v>149</v>
      </c>
      <c r="B49" t="s">
        <v>150</v>
      </c>
    </row>
    <row r="50" spans="1:2">
      <c r="A50" t="s">
        <v>151</v>
      </c>
      <c r="B50" t="s">
        <v>152</v>
      </c>
    </row>
    <row r="51" spans="1:2">
      <c r="A51" t="s">
        <v>153</v>
      </c>
      <c r="B51" t="s">
        <v>154</v>
      </c>
    </row>
    <row r="52" spans="1:2">
      <c r="A52" t="s">
        <v>155</v>
      </c>
      <c r="B52" t="s">
        <v>156</v>
      </c>
    </row>
    <row r="53" spans="1:2">
      <c r="A53" t="s">
        <v>157</v>
      </c>
      <c r="B53" t="s">
        <v>158</v>
      </c>
    </row>
    <row r="54" spans="1:2">
      <c r="A54" t="s">
        <v>159</v>
      </c>
      <c r="B54" t="s">
        <v>160</v>
      </c>
    </row>
    <row r="55" spans="1:2">
      <c r="A55" t="s">
        <v>161</v>
      </c>
      <c r="B55" t="s">
        <v>162</v>
      </c>
    </row>
    <row r="56" spans="1:2">
      <c r="A56" t="s">
        <v>163</v>
      </c>
      <c r="B56" t="s">
        <v>164</v>
      </c>
    </row>
    <row r="57" spans="1:2">
      <c r="A57" t="s">
        <v>165</v>
      </c>
      <c r="B57" t="s">
        <v>166</v>
      </c>
    </row>
    <row r="58" spans="1:2">
      <c r="A58" t="s">
        <v>167</v>
      </c>
      <c r="B58" t="s">
        <v>168</v>
      </c>
    </row>
    <row r="59" spans="1:2">
      <c r="A59" t="s">
        <v>169</v>
      </c>
      <c r="B59" t="s">
        <v>170</v>
      </c>
    </row>
    <row r="60" spans="1:2">
      <c r="A60" t="s">
        <v>171</v>
      </c>
      <c r="B60" t="s">
        <v>172</v>
      </c>
    </row>
    <row r="61" spans="1:2">
      <c r="A61" t="s">
        <v>173</v>
      </c>
      <c r="B61" t="s">
        <v>174</v>
      </c>
    </row>
    <row r="62" spans="1:2">
      <c r="A62" t="s">
        <v>175</v>
      </c>
      <c r="B62" t="s">
        <v>176</v>
      </c>
    </row>
    <row r="63" spans="1:2">
      <c r="A63" t="s">
        <v>177</v>
      </c>
      <c r="B63" t="s">
        <v>178</v>
      </c>
    </row>
    <row r="64" spans="1:2">
      <c r="A64" t="s">
        <v>179</v>
      </c>
      <c r="B64" t="s">
        <v>180</v>
      </c>
    </row>
    <row r="65" spans="1:2">
      <c r="A65" t="s">
        <v>181</v>
      </c>
      <c r="B65" t="s">
        <v>182</v>
      </c>
    </row>
    <row r="66" spans="1:2">
      <c r="A66" t="s">
        <v>183</v>
      </c>
      <c r="B66" t="s">
        <v>184</v>
      </c>
    </row>
    <row r="67" spans="1:2">
      <c r="A67" t="s">
        <v>185</v>
      </c>
      <c r="B67" t="s">
        <v>186</v>
      </c>
    </row>
    <row r="68" spans="1:2">
      <c r="A68" t="s">
        <v>187</v>
      </c>
      <c r="B68" t="s">
        <v>188</v>
      </c>
    </row>
    <row r="69" spans="1:2">
      <c r="A69" t="s">
        <v>189</v>
      </c>
      <c r="B69" t="s">
        <v>190</v>
      </c>
    </row>
    <row r="70" spans="1:2">
      <c r="A70" t="s">
        <v>191</v>
      </c>
      <c r="B70" t="s">
        <v>192</v>
      </c>
    </row>
    <row r="71" spans="1:2">
      <c r="A71" t="s">
        <v>193</v>
      </c>
      <c r="B71" t="s">
        <v>194</v>
      </c>
    </row>
    <row r="72" spans="1:2">
      <c r="A72" t="s">
        <v>195</v>
      </c>
      <c r="B72" t="s">
        <v>196</v>
      </c>
    </row>
    <row r="73" spans="1:2">
      <c r="A73" t="s">
        <v>197</v>
      </c>
      <c r="B73" t="s">
        <v>198</v>
      </c>
    </row>
    <row r="74" spans="1:2">
      <c r="A74" t="s">
        <v>199</v>
      </c>
      <c r="B74" t="s">
        <v>200</v>
      </c>
    </row>
    <row r="75" spans="1:2">
      <c r="A75" t="s">
        <v>201</v>
      </c>
      <c r="B75" t="s">
        <v>202</v>
      </c>
    </row>
    <row r="76" spans="1:2">
      <c r="A76" t="s">
        <v>203</v>
      </c>
      <c r="B76" t="s">
        <v>204</v>
      </c>
    </row>
    <row r="77" spans="1:2">
      <c r="A77" t="s">
        <v>205</v>
      </c>
      <c r="B77" t="s">
        <v>206</v>
      </c>
    </row>
    <row r="78" spans="1:2">
      <c r="A78" t="s">
        <v>207</v>
      </c>
      <c r="B78" t="s">
        <v>208</v>
      </c>
    </row>
    <row r="79" spans="1:2">
      <c r="A79" t="s">
        <v>209</v>
      </c>
      <c r="B79" t="s">
        <v>210</v>
      </c>
    </row>
    <row r="80" spans="1:2">
      <c r="A80" t="s">
        <v>211</v>
      </c>
      <c r="B80" t="s">
        <v>212</v>
      </c>
    </row>
    <row r="81" spans="1:2">
      <c r="A81" t="s">
        <v>213</v>
      </c>
      <c r="B81" t="s">
        <v>214</v>
      </c>
    </row>
    <row r="82" spans="1:2">
      <c r="A82" t="s">
        <v>215</v>
      </c>
      <c r="B82" t="s">
        <v>216</v>
      </c>
    </row>
    <row r="83" spans="1:2">
      <c r="A83" t="s">
        <v>217</v>
      </c>
      <c r="B83" t="s">
        <v>218</v>
      </c>
    </row>
    <row r="84" spans="1:2">
      <c r="A84" t="s">
        <v>219</v>
      </c>
      <c r="B84" t="s">
        <v>220</v>
      </c>
    </row>
    <row r="85" spans="1:2">
      <c r="A85" t="s">
        <v>221</v>
      </c>
      <c r="B85" t="s">
        <v>222</v>
      </c>
    </row>
    <row r="86" spans="1:2">
      <c r="A86" t="s">
        <v>223</v>
      </c>
      <c r="B86" t="s">
        <v>224</v>
      </c>
    </row>
    <row r="87" spans="1:2">
      <c r="A87" t="s">
        <v>225</v>
      </c>
      <c r="B87" t="s">
        <v>226</v>
      </c>
    </row>
    <row r="88" spans="1:2">
      <c r="A88" t="s">
        <v>227</v>
      </c>
      <c r="B88" t="s">
        <v>228</v>
      </c>
    </row>
    <row r="89" spans="1:2">
      <c r="A89" t="s">
        <v>229</v>
      </c>
      <c r="B89" t="s">
        <v>230</v>
      </c>
    </row>
    <row r="90" spans="1:2">
      <c r="A90" t="s">
        <v>231</v>
      </c>
      <c r="B90" t="s">
        <v>232</v>
      </c>
    </row>
    <row r="91" spans="1:2">
      <c r="A91" t="s">
        <v>233</v>
      </c>
      <c r="B91" t="s">
        <v>234</v>
      </c>
    </row>
    <row r="92" spans="1:2">
      <c r="A92" t="s">
        <v>235</v>
      </c>
      <c r="B92" t="s">
        <v>236</v>
      </c>
    </row>
    <row r="93" spans="1:2">
      <c r="A93" t="s">
        <v>237</v>
      </c>
      <c r="B93" t="s">
        <v>238</v>
      </c>
    </row>
    <row r="94" spans="1:2">
      <c r="A94" t="s">
        <v>239</v>
      </c>
      <c r="B94" t="s">
        <v>240</v>
      </c>
    </row>
    <row r="95" spans="1:2">
      <c r="A95" t="s">
        <v>241</v>
      </c>
      <c r="B95" t="s">
        <v>242</v>
      </c>
    </row>
    <row r="96" spans="1:2">
      <c r="A96" t="s">
        <v>243</v>
      </c>
      <c r="B96" t="s">
        <v>244</v>
      </c>
    </row>
    <row r="97" spans="1:2">
      <c r="A97" t="s">
        <v>245</v>
      </c>
      <c r="B97" t="s">
        <v>246</v>
      </c>
    </row>
    <row r="98" spans="1:2">
      <c r="A98" t="s">
        <v>247</v>
      </c>
      <c r="B98" t="s">
        <v>248</v>
      </c>
    </row>
    <row r="99" spans="1:2">
      <c r="A99" t="s">
        <v>249</v>
      </c>
      <c r="B99" t="s">
        <v>250</v>
      </c>
    </row>
    <row r="100" spans="1:2">
      <c r="A100" t="s">
        <v>251</v>
      </c>
      <c r="B100" t="s">
        <v>252</v>
      </c>
    </row>
    <row r="101" spans="1:2">
      <c r="A101" t="s">
        <v>253</v>
      </c>
      <c r="B101" t="s">
        <v>254</v>
      </c>
    </row>
    <row r="102" spans="1:2">
      <c r="A102" t="s">
        <v>255</v>
      </c>
      <c r="B102" t="s">
        <v>256</v>
      </c>
    </row>
    <row r="103" spans="1:2">
      <c r="A103" t="s">
        <v>257</v>
      </c>
      <c r="B103" t="s">
        <v>258</v>
      </c>
    </row>
    <row r="104" spans="1:2">
      <c r="A104" t="s">
        <v>259</v>
      </c>
      <c r="B104" t="s">
        <v>260</v>
      </c>
    </row>
    <row r="105" spans="1:2">
      <c r="A105" t="s">
        <v>261</v>
      </c>
      <c r="B105" t="s">
        <v>262</v>
      </c>
    </row>
    <row r="106" spans="1:2">
      <c r="A106" t="s">
        <v>263</v>
      </c>
      <c r="B106" t="s">
        <v>264</v>
      </c>
    </row>
    <row r="107" spans="1:2">
      <c r="A107" t="s">
        <v>265</v>
      </c>
      <c r="B107" t="s">
        <v>266</v>
      </c>
    </row>
    <row r="108" spans="1:2">
      <c r="A108" t="s">
        <v>267</v>
      </c>
      <c r="B108" t="s">
        <v>268</v>
      </c>
    </row>
    <row r="109" spans="1:2">
      <c r="A109" t="s">
        <v>269</v>
      </c>
      <c r="B109" t="s">
        <v>270</v>
      </c>
    </row>
    <row r="110" spans="1:2">
      <c r="A110" t="s">
        <v>271</v>
      </c>
      <c r="B110" t="s">
        <v>272</v>
      </c>
    </row>
    <row r="111" spans="1:2">
      <c r="A111" t="s">
        <v>273</v>
      </c>
      <c r="B111" t="s">
        <v>274</v>
      </c>
    </row>
    <row r="112" spans="1:2">
      <c r="A112" t="s">
        <v>275</v>
      </c>
      <c r="B112" t="s">
        <v>276</v>
      </c>
    </row>
    <row r="113" spans="1:2">
      <c r="A113" t="s">
        <v>277</v>
      </c>
      <c r="B113" t="s">
        <v>278</v>
      </c>
    </row>
    <row r="114" spans="1:2">
      <c r="A114" t="s">
        <v>279</v>
      </c>
      <c r="B114" t="s">
        <v>280</v>
      </c>
    </row>
    <row r="115" spans="1:2">
      <c r="A115" t="s">
        <v>281</v>
      </c>
      <c r="B115" t="s">
        <v>282</v>
      </c>
    </row>
    <row r="116" spans="1:2">
      <c r="A116" t="s">
        <v>283</v>
      </c>
      <c r="B116" t="s">
        <v>284</v>
      </c>
    </row>
    <row r="117" spans="1:2">
      <c r="A117" t="s">
        <v>285</v>
      </c>
      <c r="B117" t="s">
        <v>286</v>
      </c>
    </row>
    <row r="118" spans="1:2">
      <c r="A118" t="s">
        <v>287</v>
      </c>
      <c r="B118" t="s">
        <v>288</v>
      </c>
    </row>
    <row r="119" spans="1:2">
      <c r="A119" t="s">
        <v>289</v>
      </c>
      <c r="B119" t="s">
        <v>290</v>
      </c>
    </row>
    <row r="120" spans="1:2">
      <c r="A120" t="s">
        <v>291</v>
      </c>
      <c r="B120" t="s">
        <v>292</v>
      </c>
    </row>
    <row r="121" spans="1:2">
      <c r="A121" t="s">
        <v>293</v>
      </c>
      <c r="B121" t="s">
        <v>294</v>
      </c>
    </row>
    <row r="122" spans="1:2">
      <c r="A122" t="s">
        <v>295</v>
      </c>
      <c r="B122" t="s">
        <v>296</v>
      </c>
    </row>
    <row r="123" spans="1:2">
      <c r="A123" t="s">
        <v>297</v>
      </c>
      <c r="B123" t="s">
        <v>298</v>
      </c>
    </row>
    <row r="124" spans="1:2">
      <c r="A124" t="s">
        <v>299</v>
      </c>
      <c r="B124" t="s">
        <v>300</v>
      </c>
    </row>
    <row r="125" spans="1:2">
      <c r="A125" t="s">
        <v>301</v>
      </c>
      <c r="B125" t="s">
        <v>302</v>
      </c>
    </row>
    <row r="126" spans="1:2">
      <c r="A126" t="s">
        <v>303</v>
      </c>
      <c r="B126" t="s">
        <v>304</v>
      </c>
    </row>
    <row r="127" spans="1:2">
      <c r="A127" t="s">
        <v>305</v>
      </c>
      <c r="B127" t="s">
        <v>306</v>
      </c>
    </row>
    <row r="128" spans="1:2">
      <c r="A128" t="s">
        <v>307</v>
      </c>
      <c r="B128" t="s">
        <v>308</v>
      </c>
    </row>
    <row r="129" spans="1:2">
      <c r="A129" t="s">
        <v>309</v>
      </c>
      <c r="B129" t="s">
        <v>310</v>
      </c>
    </row>
    <row r="130" spans="1:2">
      <c r="A130" t="s">
        <v>311</v>
      </c>
      <c r="B130" t="s">
        <v>312</v>
      </c>
    </row>
    <row r="131" spans="1:2">
      <c r="A131" t="s">
        <v>313</v>
      </c>
      <c r="B131" t="s">
        <v>314</v>
      </c>
    </row>
    <row r="132" spans="1:2">
      <c r="A132" t="s">
        <v>315</v>
      </c>
      <c r="B132" t="s">
        <v>316</v>
      </c>
    </row>
    <row r="133" spans="1:2">
      <c r="A133" t="s">
        <v>317</v>
      </c>
      <c r="B133" t="s">
        <v>318</v>
      </c>
    </row>
    <row r="134" spans="1:2">
      <c r="A134" t="s">
        <v>319</v>
      </c>
      <c r="B134" t="s">
        <v>320</v>
      </c>
    </row>
    <row r="135" spans="1:2">
      <c r="A135" t="s">
        <v>321</v>
      </c>
      <c r="B135" t="s">
        <v>322</v>
      </c>
    </row>
    <row r="136" spans="1:2">
      <c r="A136" t="s">
        <v>323</v>
      </c>
      <c r="B136" t="s">
        <v>324</v>
      </c>
    </row>
    <row r="137" spans="1:2">
      <c r="A137" t="s">
        <v>325</v>
      </c>
      <c r="B137" t="s">
        <v>326</v>
      </c>
    </row>
    <row r="138" spans="1:2">
      <c r="A138" t="s">
        <v>327</v>
      </c>
      <c r="B138" t="s">
        <v>328</v>
      </c>
    </row>
    <row r="139" spans="1:2">
      <c r="A139" t="s">
        <v>329</v>
      </c>
      <c r="B139" t="s">
        <v>330</v>
      </c>
    </row>
    <row r="140" spans="1:2">
      <c r="A140" t="s">
        <v>331</v>
      </c>
      <c r="B140" t="s">
        <v>332</v>
      </c>
    </row>
    <row r="141" spans="1:2">
      <c r="A141" t="s">
        <v>333</v>
      </c>
      <c r="B141" t="s">
        <v>334</v>
      </c>
    </row>
    <row r="142" spans="1:2">
      <c r="A142" t="s">
        <v>335</v>
      </c>
      <c r="B142" t="s">
        <v>336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基本情報入力</vt:lpstr>
      <vt:lpstr>旅行行程表（自分用）</vt:lpstr>
      <vt:lpstr>旅行行程表（自宅用）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由利子</dc:creator>
  <dcterms:created xsi:type="dcterms:W3CDTF">2020-02-18T15:26:05Z</dcterms:created>
  <dcterms:modified xsi:type="dcterms:W3CDTF">2020-02-22T13:42:31Z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  <property fmtid="{D5CDD505-2E9C-101B-9397-08002B2CF9AE}" pid="3" name="KSOReadingLayout">
    <vt:bool>false</vt:bool>
  </property>
</Properties>
</file>